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380" windowHeight="8610" activeTab="5"/>
  </bookViews>
  <sheets>
    <sheet name="Main Sht" sheetId="1" r:id="rId1"/>
    <sheet name="Emergy Costs" sheetId="2" r:id="rId2"/>
    <sheet name="Category" sheetId="3" r:id="rId3"/>
    <sheet name="Summary" sheetId="4" r:id="rId4"/>
    <sheet name="Sheet3" sheetId="5" r:id="rId5"/>
    <sheet name="Comparing" sheetId="6" r:id="rId6"/>
  </sheets>
  <definedNames>
    <definedName name="_xlnm.Print_Area" localSheetId="2">'Category'!$B$7:$J$84</definedName>
    <definedName name="_xlnm.Print_Area" localSheetId="5">'Comparing'!$A$1:$J$137</definedName>
    <definedName name="_xlnm.Print_Area" localSheetId="1">'Emergy Costs'!$B$1:$Y$78</definedName>
    <definedName name="_xlnm.Print_Titles" localSheetId="2">'Category'!$1:$6</definedName>
    <definedName name="_xlnm.Print_Titles" localSheetId="1">'Emergy Costs'!$1:$6</definedName>
  </definedNames>
  <calcPr fullCalcOnLoad="1"/>
</workbook>
</file>

<file path=xl/comments1.xml><?xml version="1.0" encoding="utf-8"?>
<comments xmlns="http://schemas.openxmlformats.org/spreadsheetml/2006/main">
  <authors>
    <author>dsti</author>
  </authors>
  <commentList>
    <comment ref="G61" authorId="0">
      <text>
        <r>
          <rPr>
            <b/>
            <sz val="8"/>
            <rFont val="Tahoma"/>
            <family val="0"/>
          </rPr>
          <t>dsti:</t>
        </r>
        <r>
          <rPr>
            <sz val="8"/>
            <rFont val="Tahoma"/>
            <family val="0"/>
          </rPr>
          <t xml:space="preserve">
Add $100k for repairs
</t>
        </r>
      </text>
    </comment>
  </commentList>
</comments>
</file>

<file path=xl/comments2.xml><?xml version="1.0" encoding="utf-8"?>
<comments xmlns="http://schemas.openxmlformats.org/spreadsheetml/2006/main">
  <authors>
    <author>dsti</author>
  </authors>
  <commentList>
    <comment ref="G62" authorId="0">
      <text>
        <r>
          <rPr>
            <b/>
            <sz val="8"/>
            <rFont val="Tahoma"/>
            <family val="0"/>
          </rPr>
          <t>dsti:</t>
        </r>
        <r>
          <rPr>
            <sz val="8"/>
            <rFont val="Tahoma"/>
            <family val="0"/>
          </rPr>
          <t xml:space="preserve">
Add $100k for repairs
</t>
        </r>
      </text>
    </comment>
  </commentList>
</comments>
</file>

<file path=xl/comments3.xml><?xml version="1.0" encoding="utf-8"?>
<comments xmlns="http://schemas.openxmlformats.org/spreadsheetml/2006/main">
  <authors>
    <author>dsti</author>
  </authors>
  <commentList>
    <comment ref="E39" authorId="0">
      <text>
        <r>
          <rPr>
            <b/>
            <sz val="8"/>
            <rFont val="Tahoma"/>
            <family val="0"/>
          </rPr>
          <t>dsti:</t>
        </r>
        <r>
          <rPr>
            <sz val="8"/>
            <rFont val="Tahoma"/>
            <family val="0"/>
          </rPr>
          <t xml:space="preserve">
Add $100k for repairs
</t>
        </r>
      </text>
    </comment>
  </commentList>
</comments>
</file>

<file path=xl/comments6.xml><?xml version="1.0" encoding="utf-8"?>
<comments xmlns="http://schemas.openxmlformats.org/spreadsheetml/2006/main">
  <authors>
    <author>dsti</author>
  </authors>
  <commentList>
    <comment ref="G102" authorId="0">
      <text>
        <r>
          <rPr>
            <b/>
            <sz val="8"/>
            <rFont val="Tahoma"/>
            <family val="0"/>
          </rPr>
          <t>dsti:</t>
        </r>
        <r>
          <rPr>
            <sz val="8"/>
            <rFont val="Tahoma"/>
            <family val="0"/>
          </rPr>
          <t xml:space="preserve">
Add $100k for repairs
</t>
        </r>
      </text>
    </comment>
  </commentList>
</comments>
</file>

<file path=xl/sharedStrings.xml><?xml version="1.0" encoding="utf-8"?>
<sst xmlns="http://schemas.openxmlformats.org/spreadsheetml/2006/main" count="1142" uniqueCount="205">
  <si>
    <t>Total</t>
  </si>
  <si>
    <t>Project</t>
  </si>
  <si>
    <t>Cost</t>
  </si>
  <si>
    <t>Savings</t>
  </si>
  <si>
    <t>Energy Conservation Measures</t>
  </si>
  <si>
    <t>($)</t>
  </si>
  <si>
    <t>W1  Domestic Water Conservation Retrofit</t>
  </si>
  <si>
    <t xml:space="preserve">L1  Lighting Retrofits and Occupancy Sensor </t>
  </si>
  <si>
    <t>L3  Egress Lighting</t>
  </si>
  <si>
    <t>L5  Corridor Lighting Retrofits</t>
  </si>
  <si>
    <t>M1  Ductwork Repairs</t>
  </si>
  <si>
    <t>M5  Pipe Insulation</t>
  </si>
  <si>
    <t>M7  Re-pipe RAC HTHW Piping</t>
  </si>
  <si>
    <t>M8  Revise Pressure Control Piping</t>
  </si>
  <si>
    <t>M9  Insulated Exterior Panels</t>
  </si>
  <si>
    <t>M14  Repair Expansion Tank</t>
  </si>
  <si>
    <t>M15  Gas Line Upgrade</t>
  </si>
  <si>
    <t>M17  New Dedicated Chiller</t>
  </si>
  <si>
    <t>M18  Chilled Water Piping Modifications</t>
  </si>
  <si>
    <t>M20  Replace Air Compressor</t>
  </si>
  <si>
    <t>M21  Replace Ball Joints, HX, &amp; Associated Controls</t>
  </si>
  <si>
    <t>M22  Replace Boiler Controls</t>
  </si>
  <si>
    <t>M25  Replace Fume Hood Fans and Stacks</t>
  </si>
  <si>
    <t>M26  Replace Room 408 RTU</t>
  </si>
  <si>
    <t>M27 Convert AHU-1 to Chilled Water</t>
  </si>
  <si>
    <t>M28  Replace North Interior &amp; Exterior Doors</t>
  </si>
  <si>
    <t>M29  Add Glycol to CHW System w/ Autofill</t>
  </si>
  <si>
    <t>M31  Fire Stop Around Conduits</t>
  </si>
  <si>
    <t>M34  Replace Dampers on AHUs - Add Air Blenders</t>
  </si>
  <si>
    <t>M37  Replace ALC with Honeywell Controls</t>
  </si>
  <si>
    <t>M40  Add Zones for Heating Control</t>
  </si>
  <si>
    <t>M41  VFD Chilled and Hot Water Pumps</t>
  </si>
  <si>
    <t>M43  Ice Storage System Modifications</t>
  </si>
  <si>
    <t>S1  Integrated Operating System</t>
  </si>
  <si>
    <t>S3 Utility Vision</t>
  </si>
  <si>
    <t>T1  Cogeneration  *</t>
  </si>
  <si>
    <t>T2 Connect SEB &amp; Dodge Chilled Water</t>
  </si>
  <si>
    <t>T3  Connect Varner &amp; Elliot CHW Systems</t>
  </si>
  <si>
    <t>E1  Primary Electrical Service to East Campus</t>
  </si>
  <si>
    <t>E2  Replace Secondary Electrical Switchgear</t>
  </si>
  <si>
    <t>CEA</t>
  </si>
  <si>
    <t>In</t>
  </si>
  <si>
    <t>X</t>
  </si>
  <si>
    <t>PROJECT TOTALS</t>
  </si>
  <si>
    <t>S4 Control Specialist (3 years)</t>
  </si>
  <si>
    <t>M23A  Install 500 kW Backup Generator at CHP</t>
  </si>
  <si>
    <t>M23B  Install  Backup Generator at Dodge Hall</t>
  </si>
  <si>
    <t>M32  Replace Air Handlers (7)</t>
  </si>
  <si>
    <t>M33  Increase Airflow (Kresge and O'Dowd)</t>
  </si>
  <si>
    <t>M35A  Rebuild Chillers (2 at SEB)</t>
  </si>
  <si>
    <t>M35B  Replace Chillers (2 at Kresge)</t>
  </si>
  <si>
    <t>M36  Modify HVAC System to Reduce Noise (SFH)</t>
  </si>
  <si>
    <t>M38  Replace Cooling Tower (5)</t>
  </si>
  <si>
    <t>Priority</t>
  </si>
  <si>
    <t>Why</t>
  </si>
  <si>
    <t>M59 Replace Fluid Coolers (2)</t>
  </si>
  <si>
    <t>S2  Commission Hydronic Systems</t>
  </si>
  <si>
    <t>Energy</t>
  </si>
  <si>
    <t>Energy, age</t>
  </si>
  <si>
    <t>Energy, repair</t>
  </si>
  <si>
    <t>Repair, Comfort</t>
  </si>
  <si>
    <t>Age</t>
  </si>
  <si>
    <t>Academic</t>
  </si>
  <si>
    <t>Comfort</t>
  </si>
  <si>
    <t>Reliability</t>
  </si>
  <si>
    <t>Age, Energy</t>
  </si>
  <si>
    <t>Code</t>
  </si>
  <si>
    <t>Comfort, Energy</t>
  </si>
  <si>
    <t>Age, Reliability</t>
  </si>
  <si>
    <t>Reliability, Energy</t>
  </si>
  <si>
    <t>Reliability, Energy, Capacity</t>
  </si>
  <si>
    <t>Age, Comfort, Energy</t>
  </si>
  <si>
    <t>Reliability, Capacity</t>
  </si>
  <si>
    <t>Age, Reliability, Capacity</t>
  </si>
  <si>
    <t>Code, Age</t>
  </si>
  <si>
    <t>Yrs</t>
  </si>
  <si>
    <t>Payback</t>
  </si>
  <si>
    <t>Avoidance</t>
  </si>
  <si>
    <t xml:space="preserve">Total </t>
  </si>
  <si>
    <t>Annual</t>
  </si>
  <si>
    <t>Capital</t>
  </si>
  <si>
    <t xml:space="preserve">Cost </t>
  </si>
  <si>
    <t>A1(OC)  Replace Windows</t>
  </si>
  <si>
    <t>A1(NFH)  Replace Windows</t>
  </si>
  <si>
    <t>Sub-Total</t>
  </si>
  <si>
    <t>HTHW Trench Tunnels</t>
  </si>
  <si>
    <t>Terry</t>
  </si>
  <si>
    <t>Simon</t>
  </si>
  <si>
    <t>Jim</t>
  </si>
  <si>
    <t>Grover</t>
  </si>
  <si>
    <t>Combined</t>
  </si>
  <si>
    <t>OU</t>
  </si>
  <si>
    <t>Internal</t>
  </si>
  <si>
    <t>M23B  Install  Backup Generator at Dodge Hall **</t>
  </si>
  <si>
    <t>M21  Replace Ball Joints, HX, &amp; Ass'd Controls</t>
  </si>
  <si>
    <t>M34  Dampers on AHUs - Add Air Blenders</t>
  </si>
  <si>
    <t>M24  AC Computer Servers &amp; Software Upgrade</t>
  </si>
  <si>
    <t>M3 OA Dampers &amp; Add Occ. Sensor Control*</t>
  </si>
  <si>
    <t>By Category</t>
  </si>
  <si>
    <t>By Priority</t>
  </si>
  <si>
    <t>Cogeneration</t>
  </si>
  <si>
    <t>HTHW Tunnel</t>
  </si>
  <si>
    <t>Contract Amount to Cheveron</t>
  </si>
  <si>
    <t>By Others</t>
  </si>
  <si>
    <t>Total for items in Yellow</t>
  </si>
  <si>
    <t>All Others</t>
  </si>
  <si>
    <t>Chevron</t>
  </si>
  <si>
    <t>T1</t>
  </si>
  <si>
    <t xml:space="preserve"> -</t>
  </si>
  <si>
    <t>Bid &amp; contracted out by OU</t>
  </si>
  <si>
    <t>Oakland University Summary</t>
  </si>
  <si>
    <t>M39  Replace Steam Boiler</t>
  </si>
  <si>
    <t>ROI</t>
  </si>
  <si>
    <t>Only</t>
  </si>
  <si>
    <t>with Cost</t>
  </si>
  <si>
    <t>Yr Assumed replaced</t>
  </si>
  <si>
    <t>IRR</t>
  </si>
  <si>
    <t>Inflation Rate</t>
  </si>
  <si>
    <t>IRR Term in years</t>
  </si>
  <si>
    <t>M36  Modify HVAC Sys to Reduce Noise (SFH)</t>
  </si>
  <si>
    <t>End of</t>
  </si>
  <si>
    <t xml:space="preserve">Service </t>
  </si>
  <si>
    <t>Life</t>
  </si>
  <si>
    <t>Average</t>
  </si>
  <si>
    <t>N/A</t>
  </si>
  <si>
    <t>M3  Repair Dampers &amp; Add Occ. Sensor Control</t>
  </si>
  <si>
    <t xml:space="preserve">T1  Cogeneration </t>
  </si>
  <si>
    <t xml:space="preserve"> </t>
  </si>
  <si>
    <t>Not required if T1 is selected</t>
  </si>
  <si>
    <t>**</t>
  </si>
  <si>
    <t>Indicates items to be bid by Oakland University</t>
  </si>
  <si>
    <t xml:space="preserve">URGENT </t>
  </si>
  <si>
    <t>Sub-Total Urgent Projects</t>
  </si>
  <si>
    <t>CRITICAL</t>
  </si>
  <si>
    <t>Sub-Total Critical Projects</t>
  </si>
  <si>
    <t>NEEDED</t>
  </si>
  <si>
    <t>Sub-Total Needed Projects</t>
  </si>
  <si>
    <t>x</t>
  </si>
  <si>
    <t>Comprehensive Energy Analysis</t>
  </si>
  <si>
    <t>OTHER</t>
  </si>
  <si>
    <t>Sub-Total Other Project</t>
  </si>
  <si>
    <t>Emergency</t>
  </si>
  <si>
    <t>Replacement</t>
  </si>
  <si>
    <t>(%)</t>
  </si>
  <si>
    <t>Emerg</t>
  </si>
  <si>
    <t>replace</t>
  </si>
  <si>
    <t>factor</t>
  </si>
  <si>
    <t>ongoing local</t>
  </si>
  <si>
    <t xml:space="preserve">if </t>
  </si>
  <si>
    <t>(weeks)</t>
  </si>
  <si>
    <t>Planned</t>
  </si>
  <si>
    <t xml:space="preserve"> local</t>
  </si>
  <si>
    <t>campus-wide</t>
  </si>
  <si>
    <t>local</t>
  </si>
  <si>
    <t>(area)</t>
  </si>
  <si>
    <t>Disruption</t>
  </si>
  <si>
    <t>CR</t>
  </si>
  <si>
    <t>D</t>
  </si>
  <si>
    <t>PA</t>
  </si>
  <si>
    <t>D   =</t>
  </si>
  <si>
    <t>CR =</t>
  </si>
  <si>
    <t>PA =</t>
  </si>
  <si>
    <t>Plant Adaptation (new requirements)</t>
  </si>
  <si>
    <t>Deferred Maintenance (repairs/replacements past due)</t>
  </si>
  <si>
    <t>Capital Renewal (due for repair/replacement)</t>
  </si>
  <si>
    <t>four bldgs</t>
  </si>
  <si>
    <t>High Temp Hot Water Sys. Trench Tunnels</t>
  </si>
  <si>
    <t>Maintenance</t>
  </si>
  <si>
    <t>Kresge</t>
  </si>
  <si>
    <t>VAR to Library Drive</t>
  </si>
  <si>
    <t>NFH</t>
  </si>
  <si>
    <t>OC</t>
  </si>
  <si>
    <t>RAC commissioning</t>
  </si>
  <si>
    <t>two smaller HTHW generators</t>
  </si>
  <si>
    <t>DHE</t>
  </si>
  <si>
    <t>DHE hoods</t>
  </si>
  <si>
    <t>ERI DHE 406 and 425</t>
  </si>
  <si>
    <t>EH</t>
  </si>
  <si>
    <t>HHS</t>
  </si>
  <si>
    <t>KL</t>
  </si>
  <si>
    <t>ODH</t>
  </si>
  <si>
    <t>SEB</t>
  </si>
  <si>
    <t>SFH</t>
  </si>
  <si>
    <t>USA</t>
  </si>
  <si>
    <t>VAR</t>
  </si>
  <si>
    <t>WH</t>
  </si>
  <si>
    <t>HAM</t>
  </si>
  <si>
    <t>Anodes for cathodic protection</t>
  </si>
  <si>
    <t>SFH to SEB</t>
  </si>
  <si>
    <t>Existing tunnel repairs</t>
  </si>
  <si>
    <t>OC-second item</t>
  </si>
  <si>
    <t xml:space="preserve">DHE  </t>
  </si>
  <si>
    <t>chilled water flows</t>
  </si>
  <si>
    <t>Elliott Hall</t>
  </si>
  <si>
    <t>Ghost flow of HTHW in NFH</t>
  </si>
  <si>
    <t>BRS DHWH</t>
  </si>
  <si>
    <t>BRS USG</t>
  </si>
  <si>
    <t>PH</t>
  </si>
  <si>
    <t>RAC separate reheat pipes</t>
  </si>
  <si>
    <t>HTHW sensors</t>
  </si>
  <si>
    <t>BRS other</t>
  </si>
  <si>
    <t>BRS</t>
  </si>
  <si>
    <t>Nov 2004 Deferred</t>
  </si>
  <si>
    <t>Difference</t>
  </si>
  <si>
    <t>PROJECT TOTALS w/o Cogeneration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</si>
</sst>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0"/>
    <numFmt numFmtId="167" formatCode="&quot;$&quot;#,##0.000"/>
    <numFmt numFmtId="168" formatCode="0.000"/>
    <numFmt numFmtId="169" formatCode="&quot;$&quot;#,##0\ ;\(&quot;$&quot;#,##0\)"/>
    <numFmt numFmtId="170" formatCode="#,##0.00000"/>
    <numFmt numFmtId="171" formatCode="&quot;$&quot;#,##0.0000"/>
    <numFmt numFmtId="172" formatCode="0.00000"/>
    <numFmt numFmtId="173" formatCode="0.0000"/>
    <numFmt numFmtId="174" formatCode="0.0"/>
    <numFmt numFmtId="175" formatCode="0.0%"/>
    <numFmt numFmtId="176" formatCode="[$-409]dddd\,\ mmmm\ dd\,\ yyyy"/>
    <numFmt numFmtId="177" formatCode="[$-409]mmmm\ d\,\ yyyy;@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9"/>
      <name val="Arial"/>
      <family val="0"/>
    </font>
    <font>
      <b/>
      <i/>
      <sz val="9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164" fontId="0" fillId="0" borderId="1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64" fontId="0" fillId="0" borderId="9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164" fontId="0" fillId="2" borderId="1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174" fontId="0" fillId="0" borderId="4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69" fontId="0" fillId="0" borderId="16" xfId="0" applyNumberFormat="1" applyFont="1" applyFill="1" applyBorder="1" applyAlignment="1">
      <alignment vertical="center"/>
    </xf>
    <xf numFmtId="169" fontId="0" fillId="0" borderId="17" xfId="0" applyNumberFormat="1" applyFont="1" applyFill="1" applyBorder="1" applyAlignment="1">
      <alignment vertical="center"/>
    </xf>
    <xf numFmtId="169" fontId="0" fillId="2" borderId="17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1" xfId="0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1" fontId="0" fillId="0" borderId="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right" vertical="center"/>
    </xf>
    <xf numFmtId="169" fontId="0" fillId="0" borderId="20" xfId="0" applyNumberFormat="1" applyFont="1" applyFill="1" applyBorder="1" applyAlignment="1">
      <alignment vertical="center"/>
    </xf>
    <xf numFmtId="164" fontId="0" fillId="0" borderId="21" xfId="0" applyNumberForma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164" fontId="8" fillId="0" borderId="21" xfId="0" applyNumberFormat="1" applyFont="1" applyFill="1" applyBorder="1" applyAlignment="1">
      <alignment horizontal="right" vertical="center"/>
    </xf>
    <xf numFmtId="169" fontId="8" fillId="0" borderId="22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174" fontId="8" fillId="0" borderId="24" xfId="0" applyNumberFormat="1" applyFont="1" applyBorder="1" applyAlignment="1">
      <alignment horizontal="center"/>
    </xf>
    <xf numFmtId="164" fontId="8" fillId="0" borderId="26" xfId="0" applyNumberFormat="1" applyFont="1" applyFill="1" applyBorder="1" applyAlignment="1">
      <alignment horizontal="right" vertical="center"/>
    </xf>
    <xf numFmtId="169" fontId="8" fillId="0" borderId="2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2" borderId="29" xfId="0" applyFont="1" applyFill="1" applyBorder="1" applyAlignment="1">
      <alignment/>
    </xf>
    <xf numFmtId="0" fontId="9" fillId="0" borderId="29" xfId="0" applyFont="1" applyFill="1" applyBorder="1" applyAlignment="1">
      <alignment vertical="center"/>
    </xf>
    <xf numFmtId="0" fontId="9" fillId="0" borderId="9" xfId="0" applyFont="1" applyFill="1" applyBorder="1" applyAlignment="1">
      <alignment/>
    </xf>
    <xf numFmtId="0" fontId="9" fillId="0" borderId="8" xfId="0" applyFont="1" applyBorder="1" applyAlignment="1">
      <alignment/>
    </xf>
    <xf numFmtId="174" fontId="0" fillId="0" borderId="4" xfId="0" applyNumberForma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31" xfId="0" applyFont="1" applyFill="1" applyBorder="1" applyAlignment="1">
      <alignment horizontal="right"/>
    </xf>
    <xf numFmtId="0" fontId="9" fillId="0" borderId="25" xfId="0" applyFont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1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1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5" xfId="0" applyFont="1" applyBorder="1" applyAlignment="1">
      <alignment/>
    </xf>
    <xf numFmtId="1" fontId="9" fillId="0" borderId="8" xfId="0" applyNumberFormat="1" applyFont="1" applyFill="1" applyBorder="1" applyAlignment="1">
      <alignment horizontal="center"/>
    </xf>
    <xf numFmtId="1" fontId="9" fillId="0" borderId="32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" fontId="9" fillId="0" borderId="33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6" fontId="9" fillId="0" borderId="34" xfId="0" applyNumberFormat="1" applyFont="1" applyBorder="1" applyAlignment="1">
      <alignment horizontal="right"/>
    </xf>
    <xf numFmtId="164" fontId="9" fillId="0" borderId="34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6" fontId="9" fillId="0" borderId="8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6" fontId="10" fillId="0" borderId="21" xfId="0" applyNumberFormat="1" applyFont="1" applyBorder="1" applyAlignment="1">
      <alignment horizontal="right"/>
    </xf>
    <xf numFmtId="6" fontId="10" fillId="0" borderId="35" xfId="0" applyNumberFormat="1" applyFont="1" applyBorder="1" applyAlignment="1">
      <alignment horizontal="right"/>
    </xf>
    <xf numFmtId="6" fontId="9" fillId="2" borderId="8" xfId="0" applyNumberFormat="1" applyFont="1" applyFill="1" applyBorder="1" applyAlignment="1">
      <alignment horizontal="right"/>
    </xf>
    <xf numFmtId="6" fontId="9" fillId="0" borderId="15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6" fontId="10" fillId="0" borderId="21" xfId="0" applyNumberFormat="1" applyFont="1" applyFill="1" applyBorder="1" applyAlignment="1">
      <alignment horizontal="right"/>
    </xf>
    <xf numFmtId="6" fontId="10" fillId="0" borderId="35" xfId="0" applyNumberFormat="1" applyFont="1" applyFill="1" applyBorder="1" applyAlignment="1">
      <alignment horizontal="right"/>
    </xf>
    <xf numFmtId="6" fontId="9" fillId="0" borderId="8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6" fontId="9" fillId="0" borderId="0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9" fillId="0" borderId="36" xfId="0" applyNumberFormat="1" applyFont="1" applyFill="1" applyBorder="1" applyAlignment="1">
      <alignment horizontal="right"/>
    </xf>
    <xf numFmtId="164" fontId="9" fillId="0" borderId="37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6" fontId="9" fillId="2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6" fontId="12" fillId="0" borderId="0" xfId="0" applyNumberFormat="1" applyFont="1" applyBorder="1" applyAlignment="1">
      <alignment/>
    </xf>
    <xf numFmtId="6" fontId="12" fillId="0" borderId="0" xfId="0" applyNumberFormat="1" applyFont="1" applyBorder="1" applyAlignment="1">
      <alignment horizontal="right"/>
    </xf>
    <xf numFmtId="6" fontId="12" fillId="0" borderId="10" xfId="0" applyNumberFormat="1" applyFont="1" applyBorder="1" applyAlignment="1">
      <alignment/>
    </xf>
    <xf numFmtId="6" fontId="12" fillId="0" borderId="0" xfId="0" applyNumberFormat="1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164" fontId="9" fillId="2" borderId="8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38" xfId="0" applyBorder="1" applyAlignment="1">
      <alignment horizontal="center"/>
    </xf>
    <xf numFmtId="10" fontId="0" fillId="0" borderId="34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0" xfId="0" applyNumberFormat="1" applyAlignment="1">
      <alignment/>
    </xf>
    <xf numFmtId="4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0" fillId="0" borderId="39" xfId="0" applyNumberForma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/>
    </xf>
    <xf numFmtId="9" fontId="0" fillId="0" borderId="7" xfId="0" applyNumberForma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6" fontId="3" fillId="0" borderId="34" xfId="0" applyNumberFormat="1" applyFont="1" applyBorder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Continuous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41" xfId="0" applyFont="1" applyFill="1" applyBorder="1" applyAlignment="1">
      <alignment/>
    </xf>
    <xf numFmtId="174" fontId="0" fillId="0" borderId="0" xfId="0" applyNumberFormat="1" applyBorder="1" applyAlignment="1">
      <alignment horizontal="center"/>
    </xf>
    <xf numFmtId="0" fontId="9" fillId="0" borderId="42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9" fillId="2" borderId="42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9" fillId="0" borderId="42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174" fontId="0" fillId="3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6" fontId="9" fillId="0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40" xfId="0" applyFont="1" applyFill="1" applyBorder="1" applyAlignment="1">
      <alignment vertical="center"/>
    </xf>
    <xf numFmtId="169" fontId="0" fillId="0" borderId="15" xfId="0" applyNumberFormat="1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164" fontId="1" fillId="0" borderId="44" xfId="0" applyNumberFormat="1" applyFont="1" applyFill="1" applyBorder="1" applyAlignment="1">
      <alignment horizontal="left"/>
    </xf>
    <xf numFmtId="0" fontId="2" fillId="0" borderId="40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vertical="center"/>
    </xf>
    <xf numFmtId="164" fontId="0" fillId="0" borderId="45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right" vertical="center"/>
    </xf>
    <xf numFmtId="0" fontId="0" fillId="0" borderId="46" xfId="0" applyBorder="1" applyAlignment="1">
      <alignment horizontal="center"/>
    </xf>
    <xf numFmtId="164" fontId="9" fillId="0" borderId="39" xfId="0" applyNumberFormat="1" applyFont="1" applyFill="1" applyBorder="1" applyAlignment="1">
      <alignment horizontal="right"/>
    </xf>
    <xf numFmtId="164" fontId="0" fillId="0" borderId="47" xfId="0" applyNumberFormat="1" applyFill="1" applyBorder="1" applyAlignment="1">
      <alignment horizontal="right" vertical="center"/>
    </xf>
    <xf numFmtId="169" fontId="0" fillId="0" borderId="48" xfId="0" applyNumberFormat="1" applyFont="1" applyFill="1" applyBorder="1" applyAlignment="1">
      <alignment vertical="center"/>
    </xf>
    <xf numFmtId="169" fontId="0" fillId="0" borderId="49" xfId="0" applyNumberFormat="1" applyFont="1" applyFill="1" applyBorder="1" applyAlignment="1">
      <alignment vertical="center"/>
    </xf>
    <xf numFmtId="6" fontId="9" fillId="0" borderId="18" xfId="0" applyNumberFormat="1" applyFont="1" applyBorder="1" applyAlignment="1">
      <alignment horizontal="right"/>
    </xf>
    <xf numFmtId="1" fontId="0" fillId="0" borderId="18" xfId="0" applyNumberFormat="1" applyFill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9" fillId="0" borderId="18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2" fillId="0" borderId="4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2" fillId="0" borderId="5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right" vertical="center"/>
    </xf>
    <xf numFmtId="0" fontId="9" fillId="0" borderId="51" xfId="0" applyFont="1" applyFill="1" applyBorder="1" applyAlignment="1">
      <alignment/>
    </xf>
    <xf numFmtId="0" fontId="0" fillId="2" borderId="4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/>
    </xf>
    <xf numFmtId="6" fontId="9" fillId="0" borderId="0" xfId="0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9" fillId="0" borderId="53" xfId="0" applyFont="1" applyFill="1" applyBorder="1" applyAlignment="1">
      <alignment/>
    </xf>
    <xf numFmtId="164" fontId="0" fillId="0" borderId="53" xfId="0" applyNumberFormat="1" applyFill="1" applyBorder="1" applyAlignment="1">
      <alignment horizontal="right" vertical="center"/>
    </xf>
    <xf numFmtId="169" fontId="0" fillId="0" borderId="54" xfId="0" applyNumberFormat="1" applyFont="1" applyFill="1" applyBorder="1" applyAlignment="1">
      <alignment vertical="center"/>
    </xf>
    <xf numFmtId="169" fontId="0" fillId="0" borderId="14" xfId="0" applyNumberFormat="1" applyFont="1" applyFill="1" applyBorder="1" applyAlignment="1">
      <alignment vertical="center"/>
    </xf>
    <xf numFmtId="6" fontId="9" fillId="0" borderId="55" xfId="0" applyNumberFormat="1" applyFont="1" applyBorder="1" applyAlignment="1">
      <alignment horizontal="right"/>
    </xf>
    <xf numFmtId="6" fontId="9" fillId="0" borderId="14" xfId="0" applyNumberFormat="1" applyFont="1" applyBorder="1" applyAlignment="1">
      <alignment horizontal="right"/>
    </xf>
    <xf numFmtId="1" fontId="0" fillId="0" borderId="55" xfId="0" applyNumberFormat="1" applyFill="1" applyBorder="1" applyAlignment="1">
      <alignment horizontal="center"/>
    </xf>
    <xf numFmtId="174" fontId="0" fillId="0" borderId="40" xfId="0" applyNumberFormat="1" applyBorder="1" applyAlignment="1">
      <alignment horizontal="center"/>
    </xf>
    <xf numFmtId="0" fontId="9" fillId="0" borderId="55" xfId="0" applyFont="1" applyBorder="1" applyAlignment="1">
      <alignment/>
    </xf>
    <xf numFmtId="0" fontId="9" fillId="0" borderId="56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164" fontId="0" fillId="0" borderId="18" xfId="0" applyNumberFormat="1" applyFill="1" applyBorder="1" applyAlignment="1">
      <alignment horizontal="right" vertical="center"/>
    </xf>
    <xf numFmtId="0" fontId="3" fillId="0" borderId="57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6" fontId="9" fillId="0" borderId="40" xfId="0" applyNumberFormat="1" applyFont="1" applyBorder="1" applyAlignment="1">
      <alignment horizontal="right"/>
    </xf>
    <xf numFmtId="1" fontId="0" fillId="0" borderId="13" xfId="0" applyNumberForma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10" fontId="0" fillId="4" borderId="0" xfId="0" applyNumberFormat="1" applyFill="1" applyAlignment="1">
      <alignment horizontal="center"/>
    </xf>
    <xf numFmtId="0" fontId="0" fillId="0" borderId="0" xfId="0" applyFill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0" fillId="0" borderId="40" xfId="0" applyNumberFormat="1" applyFill="1" applyBorder="1" applyAlignment="1">
      <alignment horizontal="center"/>
    </xf>
    <xf numFmtId="6" fontId="9" fillId="0" borderId="36" xfId="0" applyNumberFormat="1" applyFont="1" applyBorder="1" applyAlignment="1">
      <alignment horizontal="right"/>
    </xf>
    <xf numFmtId="174" fontId="0" fillId="0" borderId="45" xfId="0" applyNumberFormat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9" fontId="0" fillId="0" borderId="8" xfId="0" applyNumberFormat="1" applyFont="1" applyFill="1" applyBorder="1" applyAlignment="1">
      <alignment vertical="center"/>
    </xf>
    <xf numFmtId="169" fontId="0" fillId="2" borderId="8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3" xfId="0" applyBorder="1" applyAlignment="1">
      <alignment horizontal="center"/>
    </xf>
    <xf numFmtId="169" fontId="0" fillId="0" borderId="55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169" fontId="0" fillId="0" borderId="52" xfId="0" applyNumberFormat="1" applyFont="1" applyFill="1" applyBorder="1" applyAlignment="1">
      <alignment vertical="center"/>
    </xf>
    <xf numFmtId="0" fontId="0" fillId="0" borderId="49" xfId="0" applyBorder="1" applyAlignment="1">
      <alignment/>
    </xf>
    <xf numFmtId="0" fontId="9" fillId="0" borderId="46" xfId="0" applyFont="1" applyFill="1" applyBorder="1" applyAlignment="1">
      <alignment/>
    </xf>
    <xf numFmtId="164" fontId="0" fillId="0" borderId="45" xfId="0" applyNumberFormat="1" applyFill="1" applyBorder="1" applyAlignment="1">
      <alignment horizontal="right" vertical="center"/>
    </xf>
    <xf numFmtId="169" fontId="0" fillId="0" borderId="45" xfId="0" applyNumberFormat="1" applyFont="1" applyFill="1" applyBorder="1" applyAlignment="1">
      <alignment vertical="center"/>
    </xf>
    <xf numFmtId="6" fontId="9" fillId="0" borderId="45" xfId="0" applyNumberFormat="1" applyFont="1" applyBorder="1" applyAlignment="1">
      <alignment horizontal="right"/>
    </xf>
    <xf numFmtId="1" fontId="0" fillId="0" borderId="2" xfId="0" applyNumberFormat="1" applyFill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9" fillId="2" borderId="46" xfId="0" applyFont="1" applyFill="1" applyBorder="1" applyAlignment="1">
      <alignment/>
    </xf>
    <xf numFmtId="6" fontId="9" fillId="2" borderId="45" xfId="0" applyNumberFormat="1" applyFont="1" applyFill="1" applyBorder="1" applyAlignment="1">
      <alignment horizontal="right"/>
    </xf>
    <xf numFmtId="169" fontId="0" fillId="2" borderId="45" xfId="0" applyNumberFormat="1" applyFont="1" applyFill="1" applyBorder="1" applyAlignment="1">
      <alignment vertical="center"/>
    </xf>
    <xf numFmtId="6" fontId="9" fillId="2" borderId="36" xfId="0" applyNumberFormat="1" applyFont="1" applyFill="1" applyBorder="1" applyAlignment="1">
      <alignment horizontal="right"/>
    </xf>
    <xf numFmtId="0" fontId="3" fillId="0" borderId="36" xfId="0" applyFont="1" applyBorder="1" applyAlignment="1">
      <alignment/>
    </xf>
    <xf numFmtId="9" fontId="0" fillId="0" borderId="3" xfId="21" applyBorder="1" applyAlignment="1">
      <alignment horizontal="center"/>
    </xf>
    <xf numFmtId="9" fontId="0" fillId="0" borderId="4" xfId="21" applyBorder="1" applyAlignment="1">
      <alignment horizontal="center"/>
    </xf>
    <xf numFmtId="9" fontId="0" fillId="0" borderId="11" xfId="21" applyBorder="1" applyAlignment="1">
      <alignment horizontal="center"/>
    </xf>
    <xf numFmtId="9" fontId="0" fillId="0" borderId="5" xfId="21" applyBorder="1" applyAlignment="1">
      <alignment horizontal="center"/>
    </xf>
    <xf numFmtId="9" fontId="0" fillId="0" borderId="6" xfId="21" applyBorder="1" applyAlignment="1">
      <alignment horizontal="center"/>
    </xf>
    <xf numFmtId="9" fontId="0" fillId="0" borderId="7" xfId="21" applyBorder="1" applyAlignment="1">
      <alignment horizontal="center"/>
    </xf>
    <xf numFmtId="9" fontId="0" fillId="0" borderId="34" xfId="21" applyBorder="1" applyAlignment="1">
      <alignment horizontal="center"/>
    </xf>
    <xf numFmtId="9" fontId="0" fillId="0" borderId="39" xfId="21" applyBorder="1" applyAlignment="1">
      <alignment/>
    </xf>
    <xf numFmtId="9" fontId="0" fillId="0" borderId="34" xfId="2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6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2" fillId="5" borderId="44" xfId="0" applyFont="1" applyFill="1" applyBorder="1" applyAlignment="1">
      <alignment horizontal="center"/>
    </xf>
    <xf numFmtId="1" fontId="2" fillId="5" borderId="40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Continuous" vertical="center"/>
    </xf>
    <xf numFmtId="1" fontId="0" fillId="5" borderId="10" xfId="0" applyNumberFormat="1" applyFill="1" applyBorder="1" applyAlignment="1">
      <alignment horizontal="centerContinuous"/>
    </xf>
    <xf numFmtId="0" fontId="0" fillId="5" borderId="11" xfId="0" applyFill="1" applyBorder="1" applyAlignment="1">
      <alignment horizontal="centerContinuous"/>
    </xf>
    <xf numFmtId="0" fontId="2" fillId="5" borderId="6" xfId="0" applyFont="1" applyFill="1" applyBorder="1" applyAlignment="1">
      <alignment horizontal="center" vertical="center"/>
    </xf>
    <xf numFmtId="1" fontId="2" fillId="5" borderId="43" xfId="0" applyNumberFormat="1" applyFont="1" applyFill="1" applyBorder="1" applyAlignment="1">
      <alignment horizontal="centerContinuous" vertical="center"/>
    </xf>
    <xf numFmtId="0" fontId="2" fillId="5" borderId="4" xfId="0" applyFont="1" applyFill="1" applyBorder="1" applyAlignment="1">
      <alignment horizontal="centerContinuous" vertical="center"/>
    </xf>
    <xf numFmtId="0" fontId="13" fillId="5" borderId="50" xfId="0" applyFont="1" applyFill="1" applyBorder="1" applyAlignment="1">
      <alignment horizontal="center" vertical="center"/>
    </xf>
    <xf numFmtId="1" fontId="2" fillId="5" borderId="50" xfId="0" applyNumberFormat="1" applyFont="1" applyFill="1" applyBorder="1" applyAlignment="1">
      <alignment horizontal="centerContinuous" vertical="center"/>
    </xf>
    <xf numFmtId="0" fontId="2" fillId="5" borderId="11" xfId="0" applyFont="1" applyFill="1" applyBorder="1" applyAlignment="1">
      <alignment horizontal="centerContinuous" vertical="center"/>
    </xf>
    <xf numFmtId="164" fontId="9" fillId="5" borderId="34" xfId="0" applyNumberFormat="1" applyFont="1" applyFill="1" applyBorder="1" applyAlignment="1">
      <alignment horizontal="right"/>
    </xf>
    <xf numFmtId="164" fontId="9" fillId="5" borderId="46" xfId="0" applyNumberFormat="1" applyFont="1" applyFill="1" applyBorder="1" applyAlignment="1">
      <alignment horizontal="center"/>
    </xf>
    <xf numFmtId="1" fontId="9" fillId="5" borderId="50" xfId="0" applyNumberFormat="1" applyFont="1" applyFill="1" applyBorder="1" applyAlignment="1">
      <alignment horizontal="center"/>
    </xf>
    <xf numFmtId="164" fontId="9" fillId="5" borderId="11" xfId="0" applyNumberFormat="1" applyFont="1" applyFill="1" applyBorder="1" applyAlignment="1">
      <alignment horizontal="center"/>
    </xf>
    <xf numFmtId="1" fontId="9" fillId="5" borderId="0" xfId="0" applyNumberFormat="1" applyFont="1" applyFill="1" applyBorder="1" applyAlignment="1">
      <alignment horizontal="center"/>
    </xf>
    <xf numFmtId="6" fontId="9" fillId="5" borderId="5" xfId="0" applyNumberFormat="1" applyFont="1" applyFill="1" applyBorder="1" applyAlignment="1">
      <alignment horizontal="right"/>
    </xf>
    <xf numFmtId="1" fontId="9" fillId="5" borderId="44" xfId="0" applyNumberFormat="1" applyFont="1" applyFill="1" applyBorder="1" applyAlignment="1">
      <alignment horizontal="center"/>
    </xf>
    <xf numFmtId="6" fontId="9" fillId="5" borderId="3" xfId="0" applyNumberFormat="1" applyFont="1" applyFill="1" applyBorder="1" applyAlignment="1">
      <alignment horizontal="left"/>
    </xf>
    <xf numFmtId="6" fontId="9" fillId="5" borderId="6" xfId="0" applyNumberFormat="1" applyFont="1" applyFill="1" applyBorder="1" applyAlignment="1">
      <alignment horizontal="right"/>
    </xf>
    <xf numFmtId="1" fontId="9" fillId="5" borderId="43" xfId="0" applyNumberFormat="1" applyFont="1" applyFill="1" applyBorder="1" applyAlignment="1">
      <alignment horizontal="center"/>
    </xf>
    <xf numFmtId="6" fontId="9" fillId="5" borderId="4" xfId="0" applyNumberFormat="1" applyFont="1" applyFill="1" applyBorder="1" applyAlignment="1">
      <alignment horizontal="left"/>
    </xf>
    <xf numFmtId="6" fontId="9" fillId="5" borderId="7" xfId="0" applyNumberFormat="1" applyFont="1" applyFill="1" applyBorder="1" applyAlignment="1">
      <alignment horizontal="right"/>
    </xf>
    <xf numFmtId="6" fontId="9" fillId="5" borderId="18" xfId="0" applyNumberFormat="1" applyFont="1" applyFill="1" applyBorder="1" applyAlignment="1">
      <alignment horizontal="right"/>
    </xf>
    <xf numFmtId="1" fontId="9" fillId="5" borderId="46" xfId="0" applyNumberFormat="1" applyFont="1" applyFill="1" applyBorder="1" applyAlignment="1">
      <alignment horizontal="center"/>
    </xf>
    <xf numFmtId="6" fontId="9" fillId="5" borderId="39" xfId="0" applyNumberFormat="1" applyFont="1" applyFill="1" applyBorder="1" applyAlignment="1">
      <alignment horizontal="left"/>
    </xf>
    <xf numFmtId="6" fontId="9" fillId="5" borderId="0" xfId="0" applyNumberFormat="1" applyFont="1" applyFill="1" applyBorder="1" applyAlignment="1">
      <alignment horizontal="right"/>
    </xf>
    <xf numFmtId="1" fontId="9" fillId="5" borderId="10" xfId="0" applyNumberFormat="1" applyFont="1" applyFill="1" applyBorder="1" applyAlignment="1">
      <alignment horizontal="center"/>
    </xf>
    <xf numFmtId="6" fontId="9" fillId="5" borderId="36" xfId="0" applyNumberFormat="1" applyFont="1" applyFill="1" applyBorder="1" applyAlignment="1">
      <alignment horizontal="right"/>
    </xf>
    <xf numFmtId="6" fontId="9" fillId="5" borderId="34" xfId="0" applyNumberFormat="1" applyFont="1" applyFill="1" applyBorder="1" applyAlignment="1">
      <alignment horizontal="right"/>
    </xf>
    <xf numFmtId="164" fontId="9" fillId="5" borderId="39" xfId="0" applyNumberFormat="1" applyFont="1" applyFill="1" applyBorder="1" applyAlignment="1">
      <alignment horizontal="right"/>
    </xf>
    <xf numFmtId="1" fontId="9" fillId="5" borderId="45" xfId="0" applyNumberFormat="1" applyFont="1" applyFill="1" applyBorder="1" applyAlignment="1">
      <alignment horizontal="center"/>
    </xf>
    <xf numFmtId="164" fontId="9" fillId="5" borderId="39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9" fontId="0" fillId="0" borderId="0" xfId="21" applyBorder="1" applyAlignment="1">
      <alignment horizontal="center"/>
    </xf>
    <xf numFmtId="169" fontId="0" fillId="0" borderId="9" xfId="0" applyNumberFormat="1" applyFont="1" applyFill="1" applyBorder="1" applyAlignment="1">
      <alignment vertical="center"/>
    </xf>
    <xf numFmtId="0" fontId="9" fillId="0" borderId="9" xfId="0" applyFont="1" applyBorder="1" applyAlignment="1">
      <alignment/>
    </xf>
    <xf numFmtId="9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164" fontId="0" fillId="0" borderId="47" xfId="0" applyNumberFormat="1" applyFont="1" applyFill="1" applyBorder="1" applyAlignment="1">
      <alignment horizontal="right" vertical="center"/>
    </xf>
    <xf numFmtId="169" fontId="0" fillId="0" borderId="48" xfId="0" applyNumberFormat="1" applyFont="1" applyFill="1" applyBorder="1" applyAlignment="1">
      <alignment vertical="center"/>
    </xf>
    <xf numFmtId="169" fontId="0" fillId="0" borderId="49" xfId="0" applyNumberFormat="1" applyFont="1" applyFill="1" applyBorder="1" applyAlignment="1">
      <alignment vertical="center"/>
    </xf>
    <xf numFmtId="6" fontId="9" fillId="0" borderId="18" xfId="0" applyNumberFormat="1" applyFont="1" applyFill="1" applyBorder="1" applyAlignment="1">
      <alignment horizontal="right"/>
    </xf>
    <xf numFmtId="6" fontId="9" fillId="0" borderId="10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9" fontId="0" fillId="0" borderId="10" xfId="0" applyNumberFormat="1" applyFont="1" applyFill="1" applyBorder="1" applyAlignment="1">
      <alignment horizontal="center"/>
    </xf>
    <xf numFmtId="6" fontId="9" fillId="5" borderId="11" xfId="0" applyNumberFormat="1" applyFont="1" applyFill="1" applyBorder="1" applyAlignment="1">
      <alignment horizontal="left"/>
    </xf>
    <xf numFmtId="6" fontId="9" fillId="5" borderId="44" xfId="0" applyNumberFormat="1" applyFont="1" applyFill="1" applyBorder="1" applyAlignment="1">
      <alignment horizontal="right"/>
    </xf>
    <xf numFmtId="6" fontId="9" fillId="5" borderId="43" xfId="0" applyNumberFormat="1" applyFont="1" applyFill="1" applyBorder="1" applyAlignment="1">
      <alignment horizontal="right"/>
    </xf>
    <xf numFmtId="6" fontId="9" fillId="5" borderId="50" xfId="0" applyNumberFormat="1" applyFont="1" applyFill="1" applyBorder="1" applyAlignment="1">
      <alignment horizontal="right"/>
    </xf>
    <xf numFmtId="1" fontId="9" fillId="5" borderId="40" xfId="0" applyNumberFormat="1" applyFont="1" applyFill="1" applyBorder="1" applyAlignment="1">
      <alignment horizontal="center"/>
    </xf>
    <xf numFmtId="1" fontId="9" fillId="5" borderId="5" xfId="0" applyNumberFormat="1" applyFont="1" applyFill="1" applyBorder="1" applyAlignment="1">
      <alignment horizontal="center"/>
    </xf>
    <xf numFmtId="1" fontId="9" fillId="5" borderId="6" xfId="0" applyNumberFormat="1" applyFont="1" applyFill="1" applyBorder="1" applyAlignment="1">
      <alignment horizontal="center"/>
    </xf>
    <xf numFmtId="1" fontId="9" fillId="5" borderId="7" xfId="0" applyNumberFormat="1" applyFont="1" applyFill="1" applyBorder="1" applyAlignment="1">
      <alignment horizontal="center"/>
    </xf>
    <xf numFmtId="169" fontId="0" fillId="0" borderId="2" xfId="0" applyNumberFormat="1" applyFont="1" applyFill="1" applyBorder="1" applyAlignment="1">
      <alignment vertical="center"/>
    </xf>
    <xf numFmtId="169" fontId="0" fillId="2" borderId="2" xfId="0" applyNumberFormat="1" applyFont="1" applyFill="1" applyBorder="1" applyAlignment="1">
      <alignment vertical="center"/>
    </xf>
    <xf numFmtId="6" fontId="9" fillId="0" borderId="49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74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9" fillId="2" borderId="51" xfId="0" applyFont="1" applyFill="1" applyBorder="1" applyAlignment="1">
      <alignment/>
    </xf>
    <xf numFmtId="164" fontId="0" fillId="2" borderId="19" xfId="0" applyNumberFormat="1" applyFill="1" applyBorder="1" applyAlignment="1">
      <alignment horizontal="right" vertical="center"/>
    </xf>
    <xf numFmtId="169" fontId="0" fillId="2" borderId="2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6" fontId="0" fillId="0" borderId="3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6" fontId="0" fillId="0" borderId="55" xfId="0" applyNumberFormat="1" applyFont="1" applyBorder="1" applyAlignment="1">
      <alignment horizontal="right"/>
    </xf>
    <xf numFmtId="6" fontId="0" fillId="0" borderId="8" xfId="0" applyNumberFormat="1" applyFont="1" applyFill="1" applyBorder="1" applyAlignment="1">
      <alignment horizontal="right"/>
    </xf>
    <xf numFmtId="6" fontId="0" fillId="2" borderId="8" xfId="0" applyNumberFormat="1" applyFont="1" applyFill="1" applyBorder="1" applyAlignment="1">
      <alignment horizontal="right"/>
    </xf>
    <xf numFmtId="6" fontId="0" fillId="0" borderId="8" xfId="0" applyNumberFormat="1" applyFont="1" applyBorder="1" applyAlignment="1">
      <alignment horizontal="right"/>
    </xf>
    <xf numFmtId="6" fontId="0" fillId="0" borderId="18" xfId="0" applyNumberFormat="1" applyFont="1" applyBorder="1" applyAlignment="1">
      <alignment horizontal="right"/>
    </xf>
    <xf numFmtId="6" fontId="0" fillId="0" borderId="0" xfId="0" applyNumberFormat="1" applyFont="1" applyBorder="1" applyAlignment="1">
      <alignment horizontal="right"/>
    </xf>
    <xf numFmtId="6" fontId="0" fillId="0" borderId="18" xfId="0" applyNumberFormat="1" applyFont="1" applyFill="1" applyBorder="1" applyAlignment="1">
      <alignment horizontal="right"/>
    </xf>
    <xf numFmtId="6" fontId="0" fillId="0" borderId="36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6" fontId="0" fillId="0" borderId="15" xfId="0" applyNumberFormat="1" applyFont="1" applyBorder="1" applyAlignment="1">
      <alignment horizontal="right"/>
    </xf>
    <xf numFmtId="0" fontId="9" fillId="2" borderId="0" xfId="0" applyFont="1" applyFill="1" applyBorder="1" applyAlignment="1">
      <alignment/>
    </xf>
    <xf numFmtId="6" fontId="9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vertical="center"/>
    </xf>
    <xf numFmtId="6" fontId="0" fillId="2" borderId="0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/>
    </xf>
    <xf numFmtId="164" fontId="0" fillId="0" borderId="60" xfId="0" applyNumberFormat="1" applyFill="1" applyBorder="1" applyAlignment="1">
      <alignment horizontal="right" vertical="center"/>
    </xf>
    <xf numFmtId="169" fontId="0" fillId="0" borderId="60" xfId="0" applyNumberFormat="1" applyFont="1" applyFill="1" applyBorder="1" applyAlignment="1">
      <alignment vertical="center"/>
    </xf>
    <xf numFmtId="169" fontId="0" fillId="0" borderId="61" xfId="0" applyNumberFormat="1" applyFont="1" applyFill="1" applyBorder="1" applyAlignment="1">
      <alignment vertical="center"/>
    </xf>
    <xf numFmtId="6" fontId="0" fillId="0" borderId="62" xfId="0" applyNumberFormat="1" applyFont="1" applyBorder="1" applyAlignment="1">
      <alignment horizontal="right"/>
    </xf>
    <xf numFmtId="0" fontId="9" fillId="2" borderId="38" xfId="0" applyFont="1" applyFill="1" applyBorder="1" applyAlignment="1">
      <alignment/>
    </xf>
    <xf numFmtId="6" fontId="9" fillId="2" borderId="38" xfId="0" applyNumberFormat="1" applyFont="1" applyFill="1" applyBorder="1" applyAlignment="1">
      <alignment horizontal="right"/>
    </xf>
    <xf numFmtId="169" fontId="0" fillId="2" borderId="38" xfId="0" applyNumberFormat="1" applyFont="1" applyFill="1" applyBorder="1" applyAlignment="1">
      <alignment vertical="center"/>
    </xf>
    <xf numFmtId="6" fontId="0" fillId="2" borderId="38" xfId="0" applyNumberFormat="1" applyFont="1" applyFill="1" applyBorder="1" applyAlignment="1">
      <alignment horizontal="right"/>
    </xf>
    <xf numFmtId="0" fontId="9" fillId="2" borderId="4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6" fontId="0" fillId="0" borderId="10" xfId="0" applyNumberFormat="1" applyFont="1" applyBorder="1" applyAlignment="1">
      <alignment horizontal="right"/>
    </xf>
    <xf numFmtId="164" fontId="0" fillId="0" borderId="39" xfId="0" applyNumberFormat="1" applyFont="1" applyFill="1" applyBorder="1" applyAlignment="1">
      <alignment/>
    </xf>
    <xf numFmtId="6" fontId="0" fillId="0" borderId="14" xfId="0" applyNumberFormat="1" applyFont="1" applyBorder="1" applyAlignment="1">
      <alignment horizontal="right"/>
    </xf>
    <xf numFmtId="6" fontId="0" fillId="0" borderId="15" xfId="0" applyNumberFormat="1" applyFont="1" applyFill="1" applyBorder="1" applyAlignment="1">
      <alignment horizontal="right"/>
    </xf>
    <xf numFmtId="6" fontId="0" fillId="0" borderId="49" xfId="0" applyNumberFormat="1" applyFont="1" applyBorder="1" applyAlignment="1">
      <alignment horizontal="right"/>
    </xf>
    <xf numFmtId="6" fontId="0" fillId="0" borderId="5" xfId="0" applyNumberFormat="1" applyFont="1" applyBorder="1" applyAlignment="1">
      <alignment horizontal="right"/>
    </xf>
    <xf numFmtId="6" fontId="0" fillId="0" borderId="6" xfId="0" applyNumberFormat="1" applyFont="1" applyBorder="1" applyAlignment="1">
      <alignment horizontal="right"/>
    </xf>
    <xf numFmtId="6" fontId="0" fillId="0" borderId="7" xfId="0" applyNumberFormat="1" applyFont="1" applyBorder="1" applyAlignment="1">
      <alignment horizontal="right"/>
    </xf>
    <xf numFmtId="6" fontId="0" fillId="2" borderId="4" xfId="0" applyNumberFormat="1" applyFont="1" applyFill="1" applyBorder="1" applyAlignment="1">
      <alignment horizontal="right"/>
    </xf>
    <xf numFmtId="6" fontId="0" fillId="0" borderId="49" xfId="0" applyNumberFormat="1" applyFont="1" applyFill="1" applyBorder="1" applyAlignment="1">
      <alignment horizontal="right"/>
    </xf>
    <xf numFmtId="6" fontId="0" fillId="0" borderId="63" xfId="0" applyNumberFormat="1" applyFont="1" applyBorder="1" applyAlignment="1">
      <alignment horizontal="right"/>
    </xf>
    <xf numFmtId="6" fontId="0" fillId="0" borderId="6" xfId="0" applyNumberFormat="1" applyFont="1" applyFill="1" applyBorder="1" applyAlignment="1">
      <alignment horizontal="right"/>
    </xf>
    <xf numFmtId="6" fontId="0" fillId="0" borderId="7" xfId="0" applyNumberFormat="1" applyFont="1" applyFill="1" applyBorder="1" applyAlignment="1">
      <alignment horizontal="right"/>
    </xf>
    <xf numFmtId="6" fontId="0" fillId="0" borderId="64" xfId="0" applyNumberFormat="1" applyFont="1" applyBorder="1" applyAlignment="1">
      <alignment horizontal="right"/>
    </xf>
    <xf numFmtId="6" fontId="0" fillId="2" borderId="6" xfId="0" applyNumberFormat="1" applyFont="1" applyFill="1" applyBorder="1" applyAlignment="1">
      <alignment horizontal="right"/>
    </xf>
    <xf numFmtId="6" fontId="0" fillId="2" borderId="65" xfId="0" applyNumberFormat="1" applyFont="1" applyFill="1" applyBorder="1" applyAlignment="1">
      <alignment horizontal="right"/>
    </xf>
    <xf numFmtId="6" fontId="0" fillId="0" borderId="66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 horizontal="center"/>
    </xf>
    <xf numFmtId="9" fontId="0" fillId="0" borderId="0" xfId="21" applyBorder="1" applyAlignment="1">
      <alignment/>
    </xf>
    <xf numFmtId="164" fontId="9" fillId="5" borderId="0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8"/>
  <sheetViews>
    <sheetView workbookViewId="0" topLeftCell="B1">
      <selection activeCell="E56" sqref="E56"/>
    </sheetView>
  </sheetViews>
  <sheetFormatPr defaultColWidth="9.140625" defaultRowHeight="12.75"/>
  <cols>
    <col min="1" max="1" width="6.421875" style="5" hidden="1" customWidth="1"/>
    <col min="2" max="2" width="5.28125" style="0" customWidth="1"/>
    <col min="3" max="3" width="12.8515625" style="0" hidden="1" customWidth="1"/>
    <col min="4" max="4" width="10.7109375" style="0" hidden="1" customWidth="1"/>
    <col min="5" max="5" width="31.28125" style="0" customWidth="1"/>
    <col min="6" max="6" width="3.57421875" style="0" customWidth="1"/>
    <col min="7" max="7" width="11.421875" style="5" customWidth="1"/>
    <col min="8" max="8" width="9.00390625" style="5" customWidth="1"/>
    <col min="9" max="9" width="11.140625" style="5" customWidth="1"/>
    <col min="10" max="10" width="6.8515625" style="0" customWidth="1"/>
    <col min="11" max="11" width="10.28125" style="5" hidden="1" customWidth="1"/>
    <col min="12" max="14" width="9.421875" style="5" hidden="1" customWidth="1"/>
    <col min="15" max="15" width="11.00390625" style="0" hidden="1" customWidth="1"/>
    <col min="16" max="16" width="18.28125" style="0" customWidth="1"/>
    <col min="17" max="17" width="7.00390625" style="0" customWidth="1"/>
    <col min="18" max="18" width="8.421875" style="0" customWidth="1"/>
    <col min="20" max="20" width="8.421875" style="0" customWidth="1"/>
    <col min="21" max="21" width="8.8515625" style="0" hidden="1" customWidth="1"/>
    <col min="22" max="22" width="13.140625" style="5" hidden="1" customWidth="1"/>
    <col min="23" max="23" width="8.00390625" style="5" hidden="1" customWidth="1"/>
    <col min="24" max="24" width="8.140625" style="292" hidden="1" customWidth="1"/>
    <col min="25" max="25" width="11.8515625" style="5" hidden="1" customWidth="1"/>
  </cols>
  <sheetData>
    <row r="1" spans="2:21" ht="12.75" customHeight="1" thickBot="1">
      <c r="B1" t="s">
        <v>99</v>
      </c>
      <c r="R1" s="144">
        <v>38635</v>
      </c>
      <c r="S1" s="251"/>
      <c r="T1" s="5"/>
      <c r="U1" s="5"/>
    </row>
    <row r="2" spans="1:25" ht="15.75">
      <c r="A2" s="173"/>
      <c r="B2" s="174"/>
      <c r="C2" s="175"/>
      <c r="D2" s="165"/>
      <c r="E2" s="176"/>
      <c r="F2" s="176"/>
      <c r="G2" s="6"/>
      <c r="H2" s="37" t="s">
        <v>78</v>
      </c>
      <c r="I2" s="37"/>
      <c r="J2" s="35"/>
      <c r="K2" s="145"/>
      <c r="L2" s="145"/>
      <c r="M2" s="145"/>
      <c r="N2" s="145"/>
      <c r="O2" s="146"/>
      <c r="P2" s="35"/>
      <c r="Q2" s="3"/>
      <c r="R2" s="35"/>
      <c r="S2" s="252"/>
      <c r="T2" s="6"/>
      <c r="U2" s="37" t="s">
        <v>144</v>
      </c>
      <c r="V2" s="297" t="s">
        <v>141</v>
      </c>
      <c r="W2" s="297"/>
      <c r="X2" s="298"/>
      <c r="Y2" s="299"/>
    </row>
    <row r="3" spans="1:25" ht="13.5" thickBot="1">
      <c r="A3" s="167"/>
      <c r="B3" s="171"/>
      <c r="C3" s="62" t="s">
        <v>1</v>
      </c>
      <c r="D3" s="62" t="s">
        <v>0</v>
      </c>
      <c r="E3" s="170"/>
      <c r="F3" s="170"/>
      <c r="G3" s="36" t="s">
        <v>1</v>
      </c>
      <c r="H3" s="36" t="s">
        <v>79</v>
      </c>
      <c r="I3" s="36" t="s">
        <v>81</v>
      </c>
      <c r="J3" s="63" t="s">
        <v>91</v>
      </c>
      <c r="K3" s="147"/>
      <c r="L3" s="147"/>
      <c r="M3" s="147"/>
      <c r="N3" s="147"/>
      <c r="O3" s="14"/>
      <c r="P3" s="38"/>
      <c r="Q3" s="4"/>
      <c r="R3" s="63" t="s">
        <v>79</v>
      </c>
      <c r="S3" s="253"/>
      <c r="T3" s="63" t="s">
        <v>120</v>
      </c>
      <c r="U3" s="63" t="s">
        <v>145</v>
      </c>
      <c r="V3" s="300" t="s">
        <v>142</v>
      </c>
      <c r="W3" s="301" t="s">
        <v>155</v>
      </c>
      <c r="X3" s="302"/>
      <c r="Y3" s="303"/>
    </row>
    <row r="4" spans="1:25" ht="12.75">
      <c r="A4" s="168" t="s">
        <v>41</v>
      </c>
      <c r="B4" s="171"/>
      <c r="C4" s="62" t="s">
        <v>2</v>
      </c>
      <c r="D4" s="62" t="s">
        <v>3</v>
      </c>
      <c r="E4" s="170"/>
      <c r="F4" s="170"/>
      <c r="G4" s="36" t="s">
        <v>2</v>
      </c>
      <c r="H4" s="36" t="s">
        <v>3</v>
      </c>
      <c r="I4" s="36" t="s">
        <v>77</v>
      </c>
      <c r="J4" s="137" t="s">
        <v>92</v>
      </c>
      <c r="K4" s="62" t="s">
        <v>86</v>
      </c>
      <c r="L4" s="62" t="s">
        <v>87</v>
      </c>
      <c r="M4" s="62" t="s">
        <v>88</v>
      </c>
      <c r="N4" s="62" t="s">
        <v>89</v>
      </c>
      <c r="O4" s="62" t="s">
        <v>90</v>
      </c>
      <c r="P4" s="38"/>
      <c r="Q4" s="143" t="s">
        <v>76</v>
      </c>
      <c r="R4" s="36" t="s">
        <v>112</v>
      </c>
      <c r="S4" s="36" t="s">
        <v>116</v>
      </c>
      <c r="T4" s="63" t="s">
        <v>121</v>
      </c>
      <c r="U4" s="63" t="s">
        <v>146</v>
      </c>
      <c r="V4" s="304" t="s">
        <v>2</v>
      </c>
      <c r="W4" s="300" t="s">
        <v>148</v>
      </c>
      <c r="X4" s="305" t="s">
        <v>148</v>
      </c>
      <c r="Y4" s="306"/>
    </row>
    <row r="5" spans="1:25" ht="16.5" thickBot="1">
      <c r="A5" s="169" t="s">
        <v>1</v>
      </c>
      <c r="B5" s="172" t="s">
        <v>4</v>
      </c>
      <c r="C5" s="62" t="s">
        <v>5</v>
      </c>
      <c r="D5" s="62" t="s">
        <v>5</v>
      </c>
      <c r="E5" s="170"/>
      <c r="F5" s="170"/>
      <c r="G5" s="36" t="s">
        <v>5</v>
      </c>
      <c r="H5" s="36" t="s">
        <v>5</v>
      </c>
      <c r="I5" s="36" t="s">
        <v>5</v>
      </c>
      <c r="J5" s="138" t="s">
        <v>53</v>
      </c>
      <c r="K5" s="62" t="s">
        <v>53</v>
      </c>
      <c r="L5" s="62" t="s">
        <v>53</v>
      </c>
      <c r="M5" s="62" t="s">
        <v>53</v>
      </c>
      <c r="N5" s="62" t="s">
        <v>53</v>
      </c>
      <c r="O5" s="148" t="s">
        <v>0</v>
      </c>
      <c r="P5" s="36" t="s">
        <v>54</v>
      </c>
      <c r="Q5" s="15" t="s">
        <v>75</v>
      </c>
      <c r="R5" s="36" t="s">
        <v>3</v>
      </c>
      <c r="S5" s="141" t="s">
        <v>114</v>
      </c>
      <c r="T5" s="36" t="s">
        <v>122</v>
      </c>
      <c r="U5" s="36" t="s">
        <v>143</v>
      </c>
      <c r="V5" s="304" t="s">
        <v>5</v>
      </c>
      <c r="W5" s="307" t="s">
        <v>150</v>
      </c>
      <c r="X5" s="308" t="s">
        <v>141</v>
      </c>
      <c r="Y5" s="309"/>
    </row>
    <row r="6" spans="1:25" s="192" customFormat="1" ht="13.5" thickBot="1">
      <c r="A6" s="193"/>
      <c r="B6" s="194" t="s">
        <v>43</v>
      </c>
      <c r="C6" s="195"/>
      <c r="D6" s="196"/>
      <c r="E6" s="197"/>
      <c r="F6" s="197"/>
      <c r="G6" s="142">
        <f>G76</f>
        <v>27169865</v>
      </c>
      <c r="H6" s="94">
        <f>H76</f>
        <v>674184.5</v>
      </c>
      <c r="I6" s="95">
        <f>I76</f>
        <v>14583304</v>
      </c>
      <c r="J6" s="198"/>
      <c r="K6" s="199"/>
      <c r="L6" s="199"/>
      <c r="M6" s="199"/>
      <c r="N6" s="199"/>
      <c r="O6" s="200"/>
      <c r="P6" s="198"/>
      <c r="Q6" s="201"/>
      <c r="R6" s="202" t="s">
        <v>113</v>
      </c>
      <c r="S6" s="254" t="s">
        <v>77</v>
      </c>
      <c r="T6" s="203" t="s">
        <v>123</v>
      </c>
      <c r="U6" s="291" t="s">
        <v>127</v>
      </c>
      <c r="V6" s="310">
        <f>V76</f>
        <v>32492487.310000002</v>
      </c>
      <c r="W6" s="311" t="s">
        <v>149</v>
      </c>
      <c r="X6" s="312" t="s">
        <v>149</v>
      </c>
      <c r="Y6" s="313" t="s">
        <v>154</v>
      </c>
    </row>
    <row r="7" spans="1:25" s="14" customFormat="1" ht="12.75">
      <c r="A7" s="167"/>
      <c r="B7" s="19"/>
      <c r="C7" s="19"/>
      <c r="D7" s="20"/>
      <c r="E7" s="20"/>
      <c r="F7" s="20"/>
      <c r="G7" s="210"/>
      <c r="H7" s="210"/>
      <c r="I7" s="210"/>
      <c r="K7" s="147"/>
      <c r="L7" s="147"/>
      <c r="M7" s="147"/>
      <c r="N7" s="147"/>
      <c r="S7" s="161"/>
      <c r="T7" s="147"/>
      <c r="U7" s="147"/>
      <c r="V7" s="335"/>
      <c r="W7" s="336"/>
      <c r="X7" s="294"/>
      <c r="Y7" s="335"/>
    </row>
    <row r="8" spans="1:25" s="14" customFormat="1" ht="16.5" thickBot="1">
      <c r="A8" s="167"/>
      <c r="B8" s="211" t="s">
        <v>131</v>
      </c>
      <c r="C8" s="19"/>
      <c r="D8" s="20"/>
      <c r="E8" s="20"/>
      <c r="F8" s="20"/>
      <c r="G8" s="210"/>
      <c r="H8" s="210"/>
      <c r="I8" s="210"/>
      <c r="K8" s="147"/>
      <c r="L8" s="147"/>
      <c r="M8" s="147"/>
      <c r="N8" s="147"/>
      <c r="S8" s="161"/>
      <c r="T8" s="147"/>
      <c r="U8" s="147"/>
      <c r="V8" s="335"/>
      <c r="W8" s="336"/>
      <c r="X8" s="294"/>
      <c r="Y8" s="335"/>
    </row>
    <row r="9" spans="1:25" ht="12.75">
      <c r="A9" s="173" t="s">
        <v>42</v>
      </c>
      <c r="B9" s="241" t="s">
        <v>49</v>
      </c>
      <c r="C9" s="233">
        <v>80202</v>
      </c>
      <c r="D9" s="234">
        <v>1063</v>
      </c>
      <c r="E9" s="268"/>
      <c r="F9" s="268" t="s">
        <v>157</v>
      </c>
      <c r="G9" s="236">
        <f>IF(A9="X",C9,0)</f>
        <v>80202</v>
      </c>
      <c r="H9" s="236">
        <f>IF(A9="X",D9,0)</f>
        <v>1063</v>
      </c>
      <c r="I9" s="236">
        <f>IF(A9="X",G9,0)</f>
        <v>80202</v>
      </c>
      <c r="J9" s="247">
        <f>SUM(J8+1)</f>
        <v>1</v>
      </c>
      <c r="K9" s="145">
        <v>15</v>
      </c>
      <c r="L9" s="145">
        <v>2</v>
      </c>
      <c r="M9" s="145">
        <v>36</v>
      </c>
      <c r="N9" s="146">
        <v>6</v>
      </c>
      <c r="O9" s="239">
        <f>SUM(K9:N9)</f>
        <v>59</v>
      </c>
      <c r="P9" s="240" t="s">
        <v>61</v>
      </c>
      <c r="Q9" s="269"/>
      <c r="R9" s="223">
        <f>+H9/G9</f>
        <v>0.01325403356524775</v>
      </c>
      <c r="S9" s="255">
        <f>+Sheet3!W6</f>
        <v>0.0634829898341535</v>
      </c>
      <c r="T9" s="267">
        <v>2006</v>
      </c>
      <c r="U9" s="283">
        <v>0.3</v>
      </c>
      <c r="V9" s="315">
        <f>G9*(1+U9)</f>
        <v>104262.6</v>
      </c>
      <c r="W9" s="316">
        <v>0</v>
      </c>
      <c r="X9" s="316">
        <v>4</v>
      </c>
      <c r="Y9" s="317" t="s">
        <v>151</v>
      </c>
    </row>
    <row r="10" spans="1:25" ht="12.75">
      <c r="A10" s="167" t="s">
        <v>137</v>
      </c>
      <c r="B10" s="152" t="s">
        <v>20</v>
      </c>
      <c r="C10" s="1">
        <v>87391</v>
      </c>
      <c r="D10" s="31">
        <v>2500</v>
      </c>
      <c r="E10" s="264"/>
      <c r="F10" s="264" t="s">
        <v>157</v>
      </c>
      <c r="G10" s="107">
        <f>IF(A10="X",C10,0)</f>
        <v>87391</v>
      </c>
      <c r="H10" s="107">
        <f>IF(A10="X",D10,0)</f>
        <v>2500</v>
      </c>
      <c r="I10" s="107">
        <f>IF(A9="X",G10,0)</f>
        <v>87391</v>
      </c>
      <c r="J10" s="229">
        <v>2</v>
      </c>
      <c r="K10" s="147">
        <v>21</v>
      </c>
      <c r="L10" s="147">
        <v>29</v>
      </c>
      <c r="M10" s="147">
        <v>35</v>
      </c>
      <c r="N10" s="14">
        <v>4</v>
      </c>
      <c r="O10" s="150">
        <f>SUM(K10:N10)</f>
        <v>89</v>
      </c>
      <c r="P10" s="69" t="s">
        <v>61</v>
      </c>
      <c r="Q10" s="266"/>
      <c r="R10" s="132">
        <f>+H10/G10</f>
        <v>0.028607064800723187</v>
      </c>
      <c r="S10" s="163">
        <f>+Sheet3!W14</f>
        <v>0.09277275601772286</v>
      </c>
      <c r="T10" s="222">
        <v>2007</v>
      </c>
      <c r="U10" s="284">
        <v>0.2</v>
      </c>
      <c r="V10" s="318">
        <f>G10*(1+U10)</f>
        <v>104869.2</v>
      </c>
      <c r="W10" s="319">
        <v>0</v>
      </c>
      <c r="X10" s="319">
        <v>1</v>
      </c>
      <c r="Y10" s="320" t="s">
        <v>152</v>
      </c>
    </row>
    <row r="11" spans="1:25" ht="12.75">
      <c r="A11" s="206" t="s">
        <v>42</v>
      </c>
      <c r="B11" s="153" t="s">
        <v>166</v>
      </c>
      <c r="C11" s="13">
        <v>5800000</v>
      </c>
      <c r="D11" s="32">
        <v>0</v>
      </c>
      <c r="E11" s="265"/>
      <c r="F11" s="265" t="s">
        <v>156</v>
      </c>
      <c r="G11" s="102">
        <f>IF(A11="X",C11,0)</f>
        <v>5800000</v>
      </c>
      <c r="H11" s="102">
        <f>IF(A11="X",D11,0)</f>
        <v>0</v>
      </c>
      <c r="I11" s="102">
        <v>5800000</v>
      </c>
      <c r="J11" s="229">
        <v>3</v>
      </c>
      <c r="K11" s="147">
        <v>48</v>
      </c>
      <c r="L11" s="147">
        <v>1</v>
      </c>
      <c r="M11" s="147">
        <v>29</v>
      </c>
      <c r="N11" s="14">
        <v>1</v>
      </c>
      <c r="O11" s="150">
        <f>SUM(K11:N11)</f>
        <v>79</v>
      </c>
      <c r="P11" s="139" t="s">
        <v>73</v>
      </c>
      <c r="Q11" s="266"/>
      <c r="R11" s="132">
        <f>+H11/G11</f>
        <v>0</v>
      </c>
      <c r="S11" s="163">
        <f>+Sheet3!W7</f>
        <v>0.03000000000000204</v>
      </c>
      <c r="T11" s="222">
        <v>2007</v>
      </c>
      <c r="U11" s="284">
        <f>V11/I11-1</f>
        <v>0.4655172413793103</v>
      </c>
      <c r="V11" s="318">
        <v>8500000</v>
      </c>
      <c r="W11" s="319">
        <v>0</v>
      </c>
      <c r="X11" s="319">
        <v>4</v>
      </c>
      <c r="Y11" s="320" t="s">
        <v>165</v>
      </c>
    </row>
    <row r="12" spans="1:25" ht="12.75">
      <c r="A12" s="167" t="s">
        <v>42</v>
      </c>
      <c r="B12" s="205" t="s">
        <v>19</v>
      </c>
      <c r="C12" s="45">
        <v>19380</v>
      </c>
      <c r="D12" s="46">
        <v>500</v>
      </c>
      <c r="E12" s="264"/>
      <c r="F12" s="264" t="s">
        <v>157</v>
      </c>
      <c r="G12" s="98">
        <f>IF(A12="X",C12,0)</f>
        <v>19380</v>
      </c>
      <c r="H12" s="98">
        <f>IF(A12="X",D12,0)</f>
        <v>500</v>
      </c>
      <c r="I12" s="98">
        <f>IF(A12="X",G12,0)</f>
        <v>19380</v>
      </c>
      <c r="J12" s="229">
        <f>SUM(J11+1)</f>
        <v>4</v>
      </c>
      <c r="K12" s="147">
        <v>13</v>
      </c>
      <c r="L12" s="147">
        <v>5</v>
      </c>
      <c r="M12" s="147">
        <v>37</v>
      </c>
      <c r="N12" s="14">
        <v>11</v>
      </c>
      <c r="O12" s="150">
        <f>SUM(K12:N12)</f>
        <v>66</v>
      </c>
      <c r="P12" s="69" t="s">
        <v>61</v>
      </c>
      <c r="Q12" s="266"/>
      <c r="R12" s="132">
        <f>+H12/G12</f>
        <v>0.025799793601651185</v>
      </c>
      <c r="S12" s="163">
        <f>+Sheet3!W8</f>
        <v>0.08786751683077666</v>
      </c>
      <c r="T12" s="222">
        <v>2006</v>
      </c>
      <c r="U12" s="284">
        <v>0.2</v>
      </c>
      <c r="V12" s="318">
        <f>G12*(1+U12)</f>
        <v>23256</v>
      </c>
      <c r="W12" s="319">
        <v>0</v>
      </c>
      <c r="X12" s="319">
        <v>1</v>
      </c>
      <c r="Y12" s="320" t="s">
        <v>152</v>
      </c>
    </row>
    <row r="13" spans="1:25" ht="13.5" thickBot="1">
      <c r="A13" s="167" t="s">
        <v>42</v>
      </c>
      <c r="B13" s="249" t="s">
        <v>138</v>
      </c>
      <c r="C13" s="224">
        <v>275604</v>
      </c>
      <c r="D13" s="225">
        <v>0</v>
      </c>
      <c r="E13" s="270"/>
      <c r="F13" s="270"/>
      <c r="G13" s="185">
        <f>IF(A13="X",C13,0)</f>
        <v>275604</v>
      </c>
      <c r="H13" s="185">
        <f>IF(A13="X",D13,0)</f>
        <v>0</v>
      </c>
      <c r="I13" s="110">
        <v>0</v>
      </c>
      <c r="J13" s="262" t="s">
        <v>127</v>
      </c>
      <c r="K13" s="159"/>
      <c r="L13" s="159"/>
      <c r="M13" s="159"/>
      <c r="N13" s="159"/>
      <c r="O13" s="17"/>
      <c r="P13" s="34"/>
      <c r="Q13" s="271"/>
      <c r="R13" s="140">
        <f>+H13/G13</f>
        <v>0</v>
      </c>
      <c r="S13" s="140" t="s">
        <v>124</v>
      </c>
      <c r="T13" s="263" t="s">
        <v>124</v>
      </c>
      <c r="U13" s="285">
        <v>0</v>
      </c>
      <c r="V13" s="321">
        <f>G13*(1+U13)</f>
        <v>275604</v>
      </c>
      <c r="W13" s="319"/>
      <c r="X13" s="319"/>
      <c r="Y13" s="320"/>
    </row>
    <row r="14" spans="1:25" ht="13.5" thickBot="1">
      <c r="A14" s="9"/>
      <c r="B14" s="242"/>
      <c r="C14" s="243"/>
      <c r="D14" s="184"/>
      <c r="E14" s="184" t="s">
        <v>132</v>
      </c>
      <c r="F14" s="184"/>
      <c r="G14" s="185">
        <f>SUM(G9:G13)</f>
        <v>6262577</v>
      </c>
      <c r="H14" s="185">
        <f>SUM(H9:H13)</f>
        <v>4063</v>
      </c>
      <c r="I14" s="185">
        <f>SUM(I9:I13)</f>
        <v>5986973</v>
      </c>
      <c r="J14" s="186"/>
      <c r="K14" s="159"/>
      <c r="L14" s="159"/>
      <c r="M14" s="159"/>
      <c r="N14" s="17"/>
      <c r="O14" s="187"/>
      <c r="P14" s="188"/>
      <c r="Q14" s="18"/>
      <c r="R14" s="140"/>
      <c r="S14" s="256"/>
      <c r="T14" s="9"/>
      <c r="U14" s="9"/>
      <c r="V14" s="322">
        <f>SUM(V9:V13)</f>
        <v>9007991.8</v>
      </c>
      <c r="W14" s="323"/>
      <c r="X14" s="323"/>
      <c r="Y14" s="324"/>
    </row>
    <row r="15" spans="1:25" s="14" customFormat="1" ht="12.75">
      <c r="A15" s="147"/>
      <c r="B15" s="71"/>
      <c r="C15" s="179"/>
      <c r="D15" s="33"/>
      <c r="E15" s="33"/>
      <c r="F15" s="33"/>
      <c r="G15" s="109"/>
      <c r="H15" s="109"/>
      <c r="I15" s="109"/>
      <c r="J15" s="212"/>
      <c r="K15" s="147"/>
      <c r="L15" s="147"/>
      <c r="M15" s="147"/>
      <c r="O15" s="150"/>
      <c r="P15" s="213"/>
      <c r="R15" s="214"/>
      <c r="S15" s="228"/>
      <c r="T15" s="147"/>
      <c r="U15" s="147"/>
      <c r="V15" s="227"/>
      <c r="W15" s="294"/>
      <c r="X15" s="294"/>
      <c r="Y15" s="295"/>
    </row>
    <row r="16" spans="1:25" s="14" customFormat="1" ht="16.5" thickBot="1">
      <c r="A16" s="147"/>
      <c r="B16" s="211" t="s">
        <v>133</v>
      </c>
      <c r="C16" s="179"/>
      <c r="D16" s="33"/>
      <c r="E16" s="33"/>
      <c r="F16" s="33"/>
      <c r="G16" s="109"/>
      <c r="H16" s="109"/>
      <c r="I16" s="109"/>
      <c r="J16" s="212"/>
      <c r="K16" s="147"/>
      <c r="L16" s="147"/>
      <c r="M16" s="147"/>
      <c r="O16" s="150"/>
      <c r="P16" s="213"/>
      <c r="R16" s="214"/>
      <c r="S16" s="228"/>
      <c r="T16" s="147"/>
      <c r="U16" s="147"/>
      <c r="V16" s="227"/>
      <c r="W16" s="294"/>
      <c r="X16" s="294"/>
      <c r="Y16" s="295"/>
    </row>
    <row r="17" spans="1:25" ht="12.75">
      <c r="A17" s="173" t="s">
        <v>42</v>
      </c>
      <c r="B17" s="232" t="s">
        <v>47</v>
      </c>
      <c r="C17" s="233">
        <v>1276824</v>
      </c>
      <c r="D17" s="234">
        <v>17190</v>
      </c>
      <c r="E17" s="235"/>
      <c r="F17" s="235" t="s">
        <v>157</v>
      </c>
      <c r="G17" s="236">
        <f aca="true" t="shared" si="0" ref="G17:G29">IF(A17="X",C17,0)</f>
        <v>1276824</v>
      </c>
      <c r="H17" s="236">
        <f aca="true" t="shared" si="1" ref="H17:H29">IF(A17="X",D17,0)</f>
        <v>17190</v>
      </c>
      <c r="I17" s="237">
        <f aca="true" t="shared" si="2" ref="I17:I25">IF(A17="X",G17,0)</f>
        <v>1276824</v>
      </c>
      <c r="J17" s="238">
        <f>SUM(J12+1)</f>
        <v>5</v>
      </c>
      <c r="K17" s="145">
        <v>17</v>
      </c>
      <c r="L17" s="145">
        <v>8</v>
      </c>
      <c r="M17" s="145">
        <v>38</v>
      </c>
      <c r="N17" s="146">
        <v>5</v>
      </c>
      <c r="O17" s="239">
        <f aca="true" t="shared" si="3" ref="O17:O29">SUM(K17:N17)</f>
        <v>68</v>
      </c>
      <c r="P17" s="240" t="s">
        <v>61</v>
      </c>
      <c r="Q17" s="3"/>
      <c r="R17" s="223">
        <f aca="true" t="shared" si="4" ref="R17:R29">+H17/G17</f>
        <v>0.013463092799007537</v>
      </c>
      <c r="S17" s="255">
        <f>+Sheet3!W9</f>
        <v>0.06393147021137821</v>
      </c>
      <c r="T17" s="6">
        <v>2006</v>
      </c>
      <c r="U17" s="286">
        <v>0.2</v>
      </c>
      <c r="V17" s="315">
        <f>G17*(1+U17)</f>
        <v>1532188.8</v>
      </c>
      <c r="W17" s="316">
        <v>2</v>
      </c>
      <c r="X17" s="316">
        <v>12</v>
      </c>
      <c r="Y17" s="317" t="s">
        <v>153</v>
      </c>
    </row>
    <row r="18" spans="1:25" ht="12.75">
      <c r="A18" s="167" t="s">
        <v>42</v>
      </c>
      <c r="B18" s="208" t="s">
        <v>15</v>
      </c>
      <c r="C18" s="1">
        <v>9960</v>
      </c>
      <c r="D18" s="31">
        <v>300</v>
      </c>
      <c r="E18" s="166"/>
      <c r="F18" s="166" t="s">
        <v>157</v>
      </c>
      <c r="G18" s="98">
        <f t="shared" si="0"/>
        <v>9960</v>
      </c>
      <c r="H18" s="98">
        <f t="shared" si="1"/>
        <v>300</v>
      </c>
      <c r="I18" s="103">
        <f t="shared" si="2"/>
        <v>9960</v>
      </c>
      <c r="J18" s="44">
        <f>SUM(J17+1)</f>
        <v>6</v>
      </c>
      <c r="K18" s="147">
        <v>11</v>
      </c>
      <c r="L18" s="147">
        <v>15</v>
      </c>
      <c r="M18" s="147">
        <v>39</v>
      </c>
      <c r="N18" s="14">
        <v>10</v>
      </c>
      <c r="O18" s="150">
        <f t="shared" si="3"/>
        <v>75</v>
      </c>
      <c r="P18" s="69" t="s">
        <v>61</v>
      </c>
      <c r="Q18" s="4"/>
      <c r="R18" s="132">
        <f t="shared" si="4"/>
        <v>0.030120481927710843</v>
      </c>
      <c r="S18" s="163">
        <f>+Sheet3!W10</f>
        <v>0.09535264871706532</v>
      </c>
      <c r="T18" s="7">
        <v>2007</v>
      </c>
      <c r="U18" s="287">
        <v>0.5</v>
      </c>
      <c r="V18" s="318">
        <f>G18*(1+U18)</f>
        <v>14940</v>
      </c>
      <c r="W18" s="319">
        <v>0</v>
      </c>
      <c r="X18" s="319">
        <v>1</v>
      </c>
      <c r="Y18" s="320" t="s">
        <v>153</v>
      </c>
    </row>
    <row r="19" spans="1:25" ht="12.75">
      <c r="A19" s="167" t="s">
        <v>42</v>
      </c>
      <c r="B19" s="209" t="s">
        <v>96</v>
      </c>
      <c r="C19" s="1">
        <v>24033</v>
      </c>
      <c r="D19" s="31">
        <v>549</v>
      </c>
      <c r="E19" s="166"/>
      <c r="F19" s="166" t="s">
        <v>157</v>
      </c>
      <c r="G19" s="98">
        <f t="shared" si="0"/>
        <v>24033</v>
      </c>
      <c r="H19" s="98">
        <f t="shared" si="1"/>
        <v>549</v>
      </c>
      <c r="I19" s="103">
        <f t="shared" si="2"/>
        <v>24033</v>
      </c>
      <c r="J19" s="44">
        <f>SUM(J18+1)</f>
        <v>7</v>
      </c>
      <c r="K19" s="147">
        <v>45</v>
      </c>
      <c r="L19" s="147">
        <v>6</v>
      </c>
      <c r="M19" s="147">
        <v>4</v>
      </c>
      <c r="N19" s="14">
        <v>22</v>
      </c>
      <c r="O19" s="150">
        <f t="shared" si="3"/>
        <v>77</v>
      </c>
      <c r="P19" s="69" t="s">
        <v>64</v>
      </c>
      <c r="Q19" s="4"/>
      <c r="R19" s="132">
        <f t="shared" si="4"/>
        <v>0.022843590063662465</v>
      </c>
      <c r="S19" s="163">
        <f>+Sheet3!W11</f>
        <v>0.08251602358256965</v>
      </c>
      <c r="T19" s="7">
        <v>2006</v>
      </c>
      <c r="U19" s="287">
        <f>V19/I19-1</f>
        <v>2.080472683393667</v>
      </c>
      <c r="V19" s="318">
        <f>G19+50000</f>
        <v>74033</v>
      </c>
      <c r="W19" s="319">
        <v>0</v>
      </c>
      <c r="X19" s="319">
        <v>3</v>
      </c>
      <c r="Y19" s="320" t="s">
        <v>152</v>
      </c>
    </row>
    <row r="20" spans="1:25" ht="12.75">
      <c r="A20" s="167" t="s">
        <v>42</v>
      </c>
      <c r="B20" s="208" t="s">
        <v>50</v>
      </c>
      <c r="C20" s="1">
        <v>703156</v>
      </c>
      <c r="D20" s="31">
        <v>4611</v>
      </c>
      <c r="E20" s="166"/>
      <c r="F20" s="166" t="s">
        <v>157</v>
      </c>
      <c r="G20" s="98">
        <f t="shared" si="0"/>
        <v>703156</v>
      </c>
      <c r="H20" s="98">
        <f t="shared" si="1"/>
        <v>4611</v>
      </c>
      <c r="I20" s="103">
        <f t="shared" si="2"/>
        <v>703156</v>
      </c>
      <c r="J20" s="44">
        <f>SUM(J19+1)</f>
        <v>8</v>
      </c>
      <c r="K20" s="147">
        <v>12</v>
      </c>
      <c r="L20" s="147">
        <v>22</v>
      </c>
      <c r="M20" s="147">
        <v>40</v>
      </c>
      <c r="N20" s="14">
        <v>12</v>
      </c>
      <c r="O20" s="150">
        <f t="shared" si="3"/>
        <v>86</v>
      </c>
      <c r="P20" s="69" t="s">
        <v>61</v>
      </c>
      <c r="Q20" s="4"/>
      <c r="R20" s="132">
        <f t="shared" si="4"/>
        <v>0.0065575775503586686</v>
      </c>
      <c r="S20" s="163">
        <f>+Sheet3!W12</f>
        <v>0.048029026915435764</v>
      </c>
      <c r="T20" s="7">
        <v>2007</v>
      </c>
      <c r="U20" s="287">
        <v>0.2</v>
      </c>
      <c r="V20" s="318">
        <f aca="true" t="shared" si="5" ref="V20:V28">G20*(1+U20)</f>
        <v>843787.2</v>
      </c>
      <c r="W20" s="319">
        <v>0</v>
      </c>
      <c r="X20" s="319">
        <v>12</v>
      </c>
      <c r="Y20" s="320" t="s">
        <v>153</v>
      </c>
    </row>
    <row r="21" spans="1:25" ht="12.75">
      <c r="A21" s="167" t="s">
        <v>42</v>
      </c>
      <c r="B21" s="208" t="s">
        <v>32</v>
      </c>
      <c r="C21" s="1">
        <v>137437</v>
      </c>
      <c r="D21" s="31">
        <v>4121</v>
      </c>
      <c r="E21" s="166"/>
      <c r="F21" s="166" t="s">
        <v>157</v>
      </c>
      <c r="G21" s="98">
        <f t="shared" si="0"/>
        <v>137437</v>
      </c>
      <c r="H21" s="98">
        <f t="shared" si="1"/>
        <v>4121</v>
      </c>
      <c r="I21" s="103">
        <f t="shared" si="2"/>
        <v>137437</v>
      </c>
      <c r="J21" s="44">
        <f>SUM(J20+1)</f>
        <v>9</v>
      </c>
      <c r="K21" s="147">
        <v>23</v>
      </c>
      <c r="L21" s="147">
        <v>3</v>
      </c>
      <c r="M21" s="147">
        <v>11</v>
      </c>
      <c r="N21" s="14">
        <v>49</v>
      </c>
      <c r="O21" s="150">
        <f t="shared" si="3"/>
        <v>86</v>
      </c>
      <c r="P21" s="69" t="s">
        <v>69</v>
      </c>
      <c r="Q21" s="4"/>
      <c r="R21" s="132">
        <f t="shared" si="4"/>
        <v>0.029984647511223324</v>
      </c>
      <c r="S21" s="163">
        <f>+Sheet3!W13</f>
        <v>0.09512284126905834</v>
      </c>
      <c r="T21" s="7">
        <v>2006</v>
      </c>
      <c r="U21" s="287">
        <v>0.18</v>
      </c>
      <c r="V21" s="318">
        <f t="shared" si="5"/>
        <v>162175.66</v>
      </c>
      <c r="W21" s="319">
        <v>0</v>
      </c>
      <c r="X21" s="319">
        <v>4</v>
      </c>
      <c r="Y21" s="320" t="s">
        <v>153</v>
      </c>
    </row>
    <row r="22" spans="1:25" ht="12.75">
      <c r="A22" s="167" t="s">
        <v>42</v>
      </c>
      <c r="B22" s="208" t="s">
        <v>39</v>
      </c>
      <c r="C22" s="1">
        <v>168025</v>
      </c>
      <c r="D22" s="31">
        <v>7482</v>
      </c>
      <c r="E22" s="166"/>
      <c r="F22" s="166" t="s">
        <v>157</v>
      </c>
      <c r="G22" s="98">
        <f t="shared" si="0"/>
        <v>168025</v>
      </c>
      <c r="H22" s="98">
        <f t="shared" si="1"/>
        <v>7482</v>
      </c>
      <c r="I22" s="103">
        <f t="shared" si="2"/>
        <v>168025</v>
      </c>
      <c r="J22" s="44">
        <v>10</v>
      </c>
      <c r="K22" s="147">
        <v>33</v>
      </c>
      <c r="L22" s="147">
        <v>13</v>
      </c>
      <c r="M22" s="147">
        <v>43</v>
      </c>
      <c r="N22" s="14">
        <v>3</v>
      </c>
      <c r="O22" s="150">
        <f t="shared" si="3"/>
        <v>92</v>
      </c>
      <c r="P22" s="69" t="s">
        <v>61</v>
      </c>
      <c r="Q22" s="4"/>
      <c r="R22" s="132">
        <f t="shared" si="4"/>
        <v>0.04452908793334325</v>
      </c>
      <c r="S22" s="163">
        <f>+Sheet3!W15</f>
        <v>0.11810388065826678</v>
      </c>
      <c r="T22" s="7">
        <v>2007</v>
      </c>
      <c r="U22" s="287">
        <v>0.2</v>
      </c>
      <c r="V22" s="318">
        <f t="shared" si="5"/>
        <v>201630</v>
      </c>
      <c r="W22" s="319">
        <v>1</v>
      </c>
      <c r="X22" s="319">
        <v>8</v>
      </c>
      <c r="Y22" s="320" t="s">
        <v>153</v>
      </c>
    </row>
    <row r="23" spans="1:25" ht="12.75">
      <c r="A23" s="167" t="s">
        <v>42</v>
      </c>
      <c r="B23" s="208" t="s">
        <v>27</v>
      </c>
      <c r="C23" s="1">
        <v>23330</v>
      </c>
      <c r="D23" s="31">
        <v>0</v>
      </c>
      <c r="E23" s="166"/>
      <c r="F23" s="166" t="s">
        <v>157</v>
      </c>
      <c r="G23" s="98">
        <f t="shared" si="0"/>
        <v>23330</v>
      </c>
      <c r="H23" s="98">
        <f t="shared" si="1"/>
        <v>0</v>
      </c>
      <c r="I23" s="103">
        <f t="shared" si="2"/>
        <v>23330</v>
      </c>
      <c r="J23" s="44">
        <f aca="true" t="shared" si="6" ref="J23:J28">SUM(J22+1)</f>
        <v>11</v>
      </c>
      <c r="K23" s="147">
        <v>29</v>
      </c>
      <c r="L23" s="147">
        <v>4</v>
      </c>
      <c r="M23" s="147">
        <v>33</v>
      </c>
      <c r="N23" s="14">
        <v>48</v>
      </c>
      <c r="O23" s="150">
        <f t="shared" si="3"/>
        <v>114</v>
      </c>
      <c r="P23" s="69" t="s">
        <v>66</v>
      </c>
      <c r="Q23" s="4"/>
      <c r="R23" s="132">
        <f t="shared" si="4"/>
        <v>0</v>
      </c>
      <c r="S23" s="163">
        <f>+Sheet3!W16</f>
        <v>0.030000000000001973</v>
      </c>
      <c r="T23" s="7">
        <v>2006</v>
      </c>
      <c r="U23" s="287">
        <v>0</v>
      </c>
      <c r="V23" s="318">
        <f t="shared" si="5"/>
        <v>23330</v>
      </c>
      <c r="W23" s="319" t="s">
        <v>127</v>
      </c>
      <c r="X23" s="319" t="s">
        <v>127</v>
      </c>
      <c r="Y23" s="320" t="s">
        <v>127</v>
      </c>
    </row>
    <row r="24" spans="1:25" ht="12.75">
      <c r="A24" s="207" t="s">
        <v>42</v>
      </c>
      <c r="B24" s="208" t="s">
        <v>55</v>
      </c>
      <c r="C24" s="1">
        <v>148819</v>
      </c>
      <c r="D24" s="31">
        <v>189</v>
      </c>
      <c r="E24" s="166"/>
      <c r="F24" s="166" t="s">
        <v>157</v>
      </c>
      <c r="G24" s="107">
        <f t="shared" si="0"/>
        <v>148819</v>
      </c>
      <c r="H24" s="107">
        <f t="shared" si="1"/>
        <v>189</v>
      </c>
      <c r="I24" s="160">
        <f t="shared" si="2"/>
        <v>148819</v>
      </c>
      <c r="J24" s="44">
        <f t="shared" si="6"/>
        <v>12</v>
      </c>
      <c r="K24" s="161">
        <v>10</v>
      </c>
      <c r="L24" s="161">
        <v>35</v>
      </c>
      <c r="M24" s="161">
        <v>28</v>
      </c>
      <c r="N24" s="19">
        <v>28</v>
      </c>
      <c r="O24" s="162">
        <f t="shared" si="3"/>
        <v>101</v>
      </c>
      <c r="P24" s="76" t="s">
        <v>68</v>
      </c>
      <c r="Q24" s="42"/>
      <c r="R24" s="163">
        <f t="shared" si="4"/>
        <v>0.0012699991264556274</v>
      </c>
      <c r="S24" s="163">
        <f>+Sheet3!W17</f>
        <v>0.033800636283524504</v>
      </c>
      <c r="T24" s="41">
        <v>2007</v>
      </c>
      <c r="U24" s="287">
        <v>0.3</v>
      </c>
      <c r="V24" s="318">
        <f t="shared" si="5"/>
        <v>193464.7</v>
      </c>
      <c r="W24" s="319">
        <v>0</v>
      </c>
      <c r="X24" s="319">
        <v>2</v>
      </c>
      <c r="Y24" s="320" t="s">
        <v>152</v>
      </c>
    </row>
    <row r="25" spans="1:25" ht="12.75">
      <c r="A25" s="167" t="s">
        <v>42</v>
      </c>
      <c r="B25" s="208" t="s">
        <v>25</v>
      </c>
      <c r="C25" s="1">
        <v>79143</v>
      </c>
      <c r="D25" s="31">
        <v>1135</v>
      </c>
      <c r="E25" s="166"/>
      <c r="F25" s="166" t="s">
        <v>157</v>
      </c>
      <c r="G25" s="98">
        <f t="shared" si="0"/>
        <v>79143</v>
      </c>
      <c r="H25" s="98">
        <f t="shared" si="1"/>
        <v>1135</v>
      </c>
      <c r="I25" s="103">
        <f t="shared" si="2"/>
        <v>79143</v>
      </c>
      <c r="J25" s="44">
        <f t="shared" si="6"/>
        <v>13</v>
      </c>
      <c r="K25" s="147">
        <v>47</v>
      </c>
      <c r="L25" s="147">
        <v>10</v>
      </c>
      <c r="M25" s="147">
        <v>26</v>
      </c>
      <c r="N25" s="14">
        <v>19</v>
      </c>
      <c r="O25" s="150">
        <f t="shared" si="3"/>
        <v>102</v>
      </c>
      <c r="P25" s="69" t="s">
        <v>65</v>
      </c>
      <c r="Q25" s="4"/>
      <c r="R25" s="132">
        <f t="shared" si="4"/>
        <v>0.014341129348141971</v>
      </c>
      <c r="S25" s="163">
        <f>+Sheet3!W20</f>
        <v>0.06579610116171375</v>
      </c>
      <c r="T25" s="7">
        <v>2007</v>
      </c>
      <c r="U25" s="287">
        <v>0.15</v>
      </c>
      <c r="V25" s="318">
        <f t="shared" si="5"/>
        <v>91014.45</v>
      </c>
      <c r="W25" s="319"/>
      <c r="X25" s="319"/>
      <c r="Y25" s="320"/>
    </row>
    <row r="26" spans="1:25" ht="12.75">
      <c r="A26" s="167" t="s">
        <v>42</v>
      </c>
      <c r="B26" s="208" t="s">
        <v>83</v>
      </c>
      <c r="C26" s="1">
        <v>122068</v>
      </c>
      <c r="D26" s="31">
        <v>1444</v>
      </c>
      <c r="E26" s="166"/>
      <c r="F26" s="166" t="s">
        <v>157</v>
      </c>
      <c r="G26" s="98">
        <f t="shared" si="0"/>
        <v>122068</v>
      </c>
      <c r="H26" s="98">
        <f t="shared" si="1"/>
        <v>1444</v>
      </c>
      <c r="I26" s="99">
        <v>122068</v>
      </c>
      <c r="J26" s="44">
        <f t="shared" si="6"/>
        <v>14</v>
      </c>
      <c r="K26" s="147">
        <v>28</v>
      </c>
      <c r="L26" s="147">
        <v>41</v>
      </c>
      <c r="M26" s="147">
        <v>16</v>
      </c>
      <c r="N26" s="14">
        <v>30</v>
      </c>
      <c r="O26" s="150">
        <f t="shared" si="3"/>
        <v>115</v>
      </c>
      <c r="P26" s="69" t="s">
        <v>71</v>
      </c>
      <c r="Q26" s="4"/>
      <c r="R26" s="132">
        <f t="shared" si="4"/>
        <v>0.011829472097519415</v>
      </c>
      <c r="S26" s="163">
        <f>+Sheet3!W21</f>
        <v>0.06037835194401443</v>
      </c>
      <c r="T26" s="7">
        <v>2007</v>
      </c>
      <c r="U26" s="287">
        <v>0.2</v>
      </c>
      <c r="V26" s="318">
        <f t="shared" si="5"/>
        <v>146481.6</v>
      </c>
      <c r="W26" s="319"/>
      <c r="X26" s="319"/>
      <c r="Y26" s="320"/>
    </row>
    <row r="27" spans="1:25" ht="12.75">
      <c r="A27" s="167" t="s">
        <v>42</v>
      </c>
      <c r="B27" s="208" t="s">
        <v>29</v>
      </c>
      <c r="C27" s="1">
        <v>10319</v>
      </c>
      <c r="D27" s="31">
        <v>1500</v>
      </c>
      <c r="E27" s="166"/>
      <c r="F27" s="166" t="s">
        <v>158</v>
      </c>
      <c r="G27" s="98">
        <f t="shared" si="0"/>
        <v>10319</v>
      </c>
      <c r="H27" s="98">
        <f t="shared" si="1"/>
        <v>1500</v>
      </c>
      <c r="I27" s="103">
        <f>IF(A27="X",G27,0)</f>
        <v>10319</v>
      </c>
      <c r="J27" s="44">
        <f t="shared" si="6"/>
        <v>15</v>
      </c>
      <c r="K27" s="147">
        <v>25</v>
      </c>
      <c r="L27" s="147">
        <v>19</v>
      </c>
      <c r="M27" s="147">
        <v>31</v>
      </c>
      <c r="N27" s="14">
        <v>44</v>
      </c>
      <c r="O27" s="150">
        <f t="shared" si="3"/>
        <v>119</v>
      </c>
      <c r="P27" s="69" t="s">
        <v>64</v>
      </c>
      <c r="Q27" s="4"/>
      <c r="R27" s="132">
        <f t="shared" si="4"/>
        <v>0.1453629227638337</v>
      </c>
      <c r="S27" s="163">
        <f>+Sheet3!W22</f>
        <v>0.23821760062497718</v>
      </c>
      <c r="T27" s="7">
        <v>2006</v>
      </c>
      <c r="U27" s="287">
        <v>0.3</v>
      </c>
      <c r="V27" s="318">
        <f t="shared" si="5"/>
        <v>13414.7</v>
      </c>
      <c r="W27" s="319">
        <v>0</v>
      </c>
      <c r="X27" s="319">
        <v>3</v>
      </c>
      <c r="Y27" s="320" t="s">
        <v>153</v>
      </c>
    </row>
    <row r="28" spans="1:25" s="43" customFormat="1" ht="12.75">
      <c r="A28" s="167" t="s">
        <v>42</v>
      </c>
      <c r="B28" s="208" t="s">
        <v>22</v>
      </c>
      <c r="C28" s="1">
        <v>487758</v>
      </c>
      <c r="D28" s="31">
        <v>23047</v>
      </c>
      <c r="E28" s="166"/>
      <c r="F28" s="166" t="s">
        <v>158</v>
      </c>
      <c r="G28" s="98">
        <f t="shared" si="0"/>
        <v>487758</v>
      </c>
      <c r="H28" s="98">
        <f t="shared" si="1"/>
        <v>23047</v>
      </c>
      <c r="I28" s="103">
        <f>IF(A28="X",G28,0)</f>
        <v>487758</v>
      </c>
      <c r="J28" s="44">
        <f t="shared" si="6"/>
        <v>16</v>
      </c>
      <c r="K28" s="147">
        <v>19</v>
      </c>
      <c r="L28" s="147">
        <v>20</v>
      </c>
      <c r="M28" s="147">
        <v>41</v>
      </c>
      <c r="N28" s="14">
        <v>9</v>
      </c>
      <c r="O28" s="150">
        <f t="shared" si="3"/>
        <v>89</v>
      </c>
      <c r="P28" s="69" t="s">
        <v>74</v>
      </c>
      <c r="Q28" s="4"/>
      <c r="R28" s="132">
        <f t="shared" si="4"/>
        <v>0.0472508908106069</v>
      </c>
      <c r="S28" s="163">
        <f>+Sheet3!W23</f>
        <v>0.12210271255923388</v>
      </c>
      <c r="T28" s="7">
        <v>2011</v>
      </c>
      <c r="U28" s="287">
        <v>0</v>
      </c>
      <c r="V28" s="318">
        <f t="shared" si="5"/>
        <v>487758</v>
      </c>
      <c r="W28" s="319"/>
      <c r="X28" s="319"/>
      <c r="Y28" s="320"/>
    </row>
    <row r="29" spans="1:25" ht="12.75">
      <c r="A29" s="167" t="s">
        <v>42</v>
      </c>
      <c r="B29" s="152" t="s">
        <v>45</v>
      </c>
      <c r="C29" s="1">
        <v>285791</v>
      </c>
      <c r="D29" s="31">
        <v>0</v>
      </c>
      <c r="E29" s="166"/>
      <c r="F29" s="166" t="s">
        <v>158</v>
      </c>
      <c r="G29" s="98">
        <f t="shared" si="0"/>
        <v>285791</v>
      </c>
      <c r="H29" s="109">
        <f t="shared" si="1"/>
        <v>0</v>
      </c>
      <c r="I29" s="98">
        <f>IF(A29="X",G29,0)</f>
        <v>285791</v>
      </c>
      <c r="J29" s="229">
        <v>17</v>
      </c>
      <c r="K29" s="147">
        <v>27</v>
      </c>
      <c r="L29" s="147">
        <v>12</v>
      </c>
      <c r="M29" s="147">
        <v>24</v>
      </c>
      <c r="N29" s="14">
        <v>23</v>
      </c>
      <c r="O29" s="150">
        <f t="shared" si="3"/>
        <v>86</v>
      </c>
      <c r="P29" s="69" t="s">
        <v>64</v>
      </c>
      <c r="Q29" s="14"/>
      <c r="R29" s="132">
        <f t="shared" si="4"/>
        <v>0</v>
      </c>
      <c r="S29" s="228">
        <f>+Sheet3!W39</f>
        <v>0.02999999999999988</v>
      </c>
      <c r="T29" s="7" t="s">
        <v>124</v>
      </c>
      <c r="U29" s="287">
        <f>V29/G29-1</f>
        <v>4.198872602706174</v>
      </c>
      <c r="V29" s="318">
        <f>I29+1200000</f>
        <v>1485791</v>
      </c>
      <c r="W29" s="319">
        <v>0</v>
      </c>
      <c r="X29" s="319">
        <v>4</v>
      </c>
      <c r="Y29" s="320" t="s">
        <v>152</v>
      </c>
    </row>
    <row r="30" spans="1:25" ht="12.75">
      <c r="A30" s="167" t="s">
        <v>42</v>
      </c>
      <c r="B30" s="152" t="s">
        <v>93</v>
      </c>
      <c r="C30" s="1">
        <v>500000</v>
      </c>
      <c r="D30" s="31">
        <v>0</v>
      </c>
      <c r="E30" s="166"/>
      <c r="F30" s="166" t="s">
        <v>158</v>
      </c>
      <c r="G30" s="98">
        <f>IF(A30="X",C30,0)</f>
        <v>500000</v>
      </c>
      <c r="H30" s="109">
        <f>IF(A30="X",D30,0)</f>
        <v>0</v>
      </c>
      <c r="I30" s="104">
        <v>0</v>
      </c>
      <c r="J30" s="229">
        <v>18</v>
      </c>
      <c r="K30" s="147">
        <v>26</v>
      </c>
      <c r="L30" s="147">
        <v>40</v>
      </c>
      <c r="M30" s="147">
        <v>30</v>
      </c>
      <c r="N30" s="14">
        <v>31</v>
      </c>
      <c r="O30" s="150">
        <f>SUM(K30:N30)</f>
        <v>127</v>
      </c>
      <c r="P30" s="69" t="s">
        <v>62</v>
      </c>
      <c r="Q30" s="14"/>
      <c r="R30" s="132">
        <f>+H30/G30</f>
        <v>0</v>
      </c>
      <c r="S30" s="228" t="s">
        <v>124</v>
      </c>
      <c r="T30" s="7">
        <v>2007</v>
      </c>
      <c r="U30" s="284">
        <v>0.2</v>
      </c>
      <c r="V30" s="356">
        <f>G30*(1+U30)</f>
        <v>600000</v>
      </c>
      <c r="W30" s="360">
        <v>0</v>
      </c>
      <c r="X30" s="314">
        <v>1</v>
      </c>
      <c r="Y30" s="320" t="s">
        <v>152</v>
      </c>
    </row>
    <row r="31" spans="1:25" ht="12.75">
      <c r="A31" s="167" t="s">
        <v>42</v>
      </c>
      <c r="B31" s="248" t="s">
        <v>52</v>
      </c>
      <c r="C31" s="179">
        <v>1334862</v>
      </c>
      <c r="D31" s="33">
        <v>33640</v>
      </c>
      <c r="E31" s="33"/>
      <c r="F31" s="166" t="s">
        <v>156</v>
      </c>
      <c r="G31" s="98">
        <f>IF(A31="X",C31,0)</f>
        <v>1334862</v>
      </c>
      <c r="H31" s="109">
        <f>IF(A31="X",D31,0)</f>
        <v>33640</v>
      </c>
      <c r="I31" s="98">
        <f>IF(A31="X",G31,0)</f>
        <v>1334862</v>
      </c>
      <c r="J31" s="229">
        <v>19</v>
      </c>
      <c r="K31" s="147">
        <v>14</v>
      </c>
      <c r="L31" s="147">
        <v>36</v>
      </c>
      <c r="M31" s="147">
        <v>44</v>
      </c>
      <c r="N31" s="14">
        <v>13</v>
      </c>
      <c r="O31" s="150">
        <f>SUM(K31:N31)</f>
        <v>107</v>
      </c>
      <c r="P31" s="69" t="s">
        <v>61</v>
      </c>
      <c r="Q31" s="14"/>
      <c r="R31" s="132">
        <f>+H31/G31</f>
        <v>0.02520110693090372</v>
      </c>
      <c r="S31" s="228">
        <f>+Sheet3!W37</f>
        <v>0.08679989571968513</v>
      </c>
      <c r="T31" s="7">
        <v>2009</v>
      </c>
      <c r="U31" s="284">
        <v>0.2</v>
      </c>
      <c r="V31" s="356">
        <f>G31*(1+U31)</f>
        <v>1601834.4</v>
      </c>
      <c r="W31" s="360">
        <v>0</v>
      </c>
      <c r="X31" s="314">
        <v>8</v>
      </c>
      <c r="Y31" s="320" t="s">
        <v>153</v>
      </c>
    </row>
    <row r="32" spans="1:25" ht="12.75">
      <c r="A32" s="167" t="s">
        <v>42</v>
      </c>
      <c r="B32" s="151" t="s">
        <v>10</v>
      </c>
      <c r="C32" s="1">
        <v>5075</v>
      </c>
      <c r="D32" s="31">
        <v>543</v>
      </c>
      <c r="E32" s="166"/>
      <c r="F32" s="166" t="s">
        <v>157</v>
      </c>
      <c r="G32" s="98">
        <f>IF(A32="X",C32,0)</f>
        <v>5075</v>
      </c>
      <c r="H32" s="109">
        <f>IF(A32="X",D32,0)</f>
        <v>543</v>
      </c>
      <c r="I32" s="98">
        <f>IF(A32="X",G32,0)</f>
        <v>5075</v>
      </c>
      <c r="J32" s="229">
        <v>20</v>
      </c>
      <c r="K32" s="147">
        <v>5</v>
      </c>
      <c r="L32" s="147">
        <v>18</v>
      </c>
      <c r="M32" s="147">
        <v>23</v>
      </c>
      <c r="N32" s="14">
        <v>14</v>
      </c>
      <c r="O32" s="150">
        <f>SUM(K32:N32)</f>
        <v>60</v>
      </c>
      <c r="P32" s="69" t="s">
        <v>59</v>
      </c>
      <c r="Q32" s="150">
        <f>G32/H32</f>
        <v>9.34622467771639</v>
      </c>
      <c r="R32" s="132">
        <f>+H32/G32</f>
        <v>0.10699507389162562</v>
      </c>
      <c r="S32" s="228">
        <f>+Sheet3!W34</f>
        <v>0.1969958788630597</v>
      </c>
      <c r="T32" s="7">
        <v>2006</v>
      </c>
      <c r="U32" s="284">
        <v>1</v>
      </c>
      <c r="V32" s="356">
        <f>G32*(1+U32)</f>
        <v>10150</v>
      </c>
      <c r="W32" s="360">
        <v>1</v>
      </c>
      <c r="X32" s="314">
        <v>1</v>
      </c>
      <c r="Y32" s="320" t="s">
        <v>153</v>
      </c>
    </row>
    <row r="33" spans="1:25" ht="13.5" thickBot="1">
      <c r="A33" s="207" t="s">
        <v>42</v>
      </c>
      <c r="B33" s="226" t="s">
        <v>125</v>
      </c>
      <c r="C33" s="182">
        <v>436295</v>
      </c>
      <c r="D33" s="183">
        <v>8619</v>
      </c>
      <c r="E33" s="184"/>
      <c r="F33" s="184" t="s">
        <v>157</v>
      </c>
      <c r="G33" s="346">
        <f>IF(A33="X",C33,0)</f>
        <v>436295</v>
      </c>
      <c r="H33" s="346">
        <f>IF(A33="X",D33,0)</f>
        <v>8619</v>
      </c>
      <c r="I33" s="364">
        <f>IF(A33="X",100000,0)</f>
        <v>100000</v>
      </c>
      <c r="J33" s="186">
        <v>21</v>
      </c>
      <c r="K33" s="365">
        <v>39</v>
      </c>
      <c r="L33" s="365">
        <v>42</v>
      </c>
      <c r="M33" s="365">
        <v>3</v>
      </c>
      <c r="N33" s="366">
        <v>41</v>
      </c>
      <c r="O33" s="367">
        <f>SUM(K33:N33)</f>
        <v>125</v>
      </c>
      <c r="P33" s="352" t="s">
        <v>60</v>
      </c>
      <c r="Q33" s="368"/>
      <c r="R33" s="256">
        <f>+H33/G33</f>
        <v>0.019754982294090007</v>
      </c>
      <c r="S33" s="256">
        <f>+Sheet3!W24</f>
        <v>-0.045193777824738976</v>
      </c>
      <c r="T33" s="369">
        <v>2006</v>
      </c>
      <c r="U33" s="287">
        <v>0.2</v>
      </c>
      <c r="V33" s="321">
        <f>G33*(1+U33)</f>
        <v>523554</v>
      </c>
      <c r="W33" s="319">
        <v>0</v>
      </c>
      <c r="X33" s="319">
        <v>2</v>
      </c>
      <c r="Y33" s="320" t="s">
        <v>153</v>
      </c>
    </row>
    <row r="34" spans="1:25" ht="13.5" thickBot="1">
      <c r="A34" s="9"/>
      <c r="B34" s="244"/>
      <c r="C34" s="243"/>
      <c r="D34" s="184"/>
      <c r="E34" s="184" t="s">
        <v>134</v>
      </c>
      <c r="F34" s="184"/>
      <c r="G34" s="185">
        <f>SUM(G17:G33)</f>
        <v>5752895</v>
      </c>
      <c r="H34" s="185">
        <f>SUM(H17:H33)</f>
        <v>104370</v>
      </c>
      <c r="I34" s="185">
        <f>SUM(I17:I33)</f>
        <v>4916600</v>
      </c>
      <c r="J34" s="186"/>
      <c r="K34" s="159"/>
      <c r="L34" s="159"/>
      <c r="M34" s="159"/>
      <c r="N34" s="17"/>
      <c r="O34" s="187"/>
      <c r="P34" s="188"/>
      <c r="Q34" s="18"/>
      <c r="R34" s="140"/>
      <c r="S34" s="256"/>
      <c r="T34" s="9"/>
      <c r="U34" s="261"/>
      <c r="V34" s="322">
        <f>SUM(V17:V33)</f>
        <v>8005547.510000002</v>
      </c>
      <c r="W34" s="323"/>
      <c r="X34" s="323"/>
      <c r="Y34" s="324"/>
    </row>
    <row r="35" spans="1:25" s="14" customFormat="1" ht="12.75">
      <c r="A35" s="147"/>
      <c r="B35" s="190" t="s">
        <v>129</v>
      </c>
      <c r="C35"/>
      <c r="D35" s="127"/>
      <c r="E35" t="s">
        <v>128</v>
      </c>
      <c r="F35"/>
      <c r="G35" s="109"/>
      <c r="H35" s="109"/>
      <c r="I35" s="216"/>
      <c r="J35" s="212"/>
      <c r="K35" s="147"/>
      <c r="L35" s="147"/>
      <c r="M35" s="147"/>
      <c r="O35" s="150"/>
      <c r="P35" s="213"/>
      <c r="R35" s="214"/>
      <c r="S35" s="228"/>
      <c r="T35" s="147"/>
      <c r="U35" s="147"/>
      <c r="V35" s="332"/>
      <c r="W35" s="294"/>
      <c r="X35" s="294"/>
      <c r="Y35" s="296"/>
    </row>
    <row r="36" spans="1:25" s="14" customFormat="1" ht="12.75">
      <c r="A36" s="147"/>
      <c r="B36" s="189"/>
      <c r="C36" s="127"/>
      <c r="D36"/>
      <c r="E36" t="s">
        <v>130</v>
      </c>
      <c r="F36"/>
      <c r="G36" s="109"/>
      <c r="H36" s="109"/>
      <c r="I36" s="216"/>
      <c r="J36" s="212"/>
      <c r="K36" s="147"/>
      <c r="L36" s="147"/>
      <c r="M36" s="147"/>
      <c r="O36" s="150"/>
      <c r="P36" s="213"/>
      <c r="R36" s="214"/>
      <c r="S36" s="228"/>
      <c r="T36" s="147"/>
      <c r="U36" s="147"/>
      <c r="V36" s="332"/>
      <c r="W36" s="294"/>
      <c r="X36" s="294"/>
      <c r="Y36" s="296"/>
    </row>
    <row r="37" spans="1:25" s="14" customFormat="1" ht="12.75">
      <c r="A37" s="147"/>
      <c r="B37" s="43" t="s">
        <v>159</v>
      </c>
      <c r="C37" s="127"/>
      <c r="D37"/>
      <c r="E37" t="s">
        <v>163</v>
      </c>
      <c r="F37"/>
      <c r="G37" s="109"/>
      <c r="H37" s="109"/>
      <c r="I37" s="216"/>
      <c r="J37" s="212"/>
      <c r="K37" s="147"/>
      <c r="L37" s="147"/>
      <c r="M37" s="147"/>
      <c r="O37" s="150"/>
      <c r="P37" s="213"/>
      <c r="R37" s="214"/>
      <c r="S37" s="228"/>
      <c r="T37" s="147"/>
      <c r="U37" s="147"/>
      <c r="V37" s="332"/>
      <c r="W37" s="294"/>
      <c r="X37" s="294"/>
      <c r="Y37" s="296"/>
    </row>
    <row r="38" spans="1:25" s="14" customFormat="1" ht="12.75">
      <c r="A38" s="147"/>
      <c r="B38" s="43" t="s">
        <v>160</v>
      </c>
      <c r="C38" s="127"/>
      <c r="D38"/>
      <c r="E38" t="s">
        <v>164</v>
      </c>
      <c r="F38"/>
      <c r="G38" s="109"/>
      <c r="H38" s="109"/>
      <c r="I38" s="216"/>
      <c r="J38" s="212"/>
      <c r="K38" s="147"/>
      <c r="L38" s="147"/>
      <c r="M38" s="147"/>
      <c r="O38" s="150"/>
      <c r="P38" s="213"/>
      <c r="R38" s="214"/>
      <c r="S38" s="228"/>
      <c r="T38" s="147"/>
      <c r="U38" s="147"/>
      <c r="V38" s="332"/>
      <c r="W38" s="294"/>
      <c r="X38" s="294"/>
      <c r="Y38" s="296"/>
    </row>
    <row r="39" spans="1:25" s="14" customFormat="1" ht="12.75">
      <c r="A39" s="147"/>
      <c r="B39" s="43" t="s">
        <v>161</v>
      </c>
      <c r="C39" s="127"/>
      <c r="D39"/>
      <c r="E39" t="s">
        <v>162</v>
      </c>
      <c r="F39"/>
      <c r="G39" s="109"/>
      <c r="H39" s="109"/>
      <c r="I39" s="216"/>
      <c r="J39" s="212"/>
      <c r="K39" s="147"/>
      <c r="L39" s="147"/>
      <c r="M39" s="147"/>
      <c r="O39" s="150"/>
      <c r="P39" s="213"/>
      <c r="R39" s="214"/>
      <c r="S39" s="228"/>
      <c r="T39" s="147"/>
      <c r="U39" s="147"/>
      <c r="V39" s="332"/>
      <c r="W39" s="294"/>
      <c r="X39" s="294"/>
      <c r="Y39" s="296"/>
    </row>
    <row r="40" spans="1:25" s="14" customFormat="1" ht="12.75">
      <c r="A40" s="147"/>
      <c r="B40" s="43"/>
      <c r="C40" s="127"/>
      <c r="D40"/>
      <c r="E40"/>
      <c r="F40"/>
      <c r="G40" s="109"/>
      <c r="H40" s="109"/>
      <c r="I40" s="216"/>
      <c r="J40" s="212"/>
      <c r="K40" s="147"/>
      <c r="L40" s="147"/>
      <c r="M40" s="147"/>
      <c r="O40" s="150"/>
      <c r="P40" s="213"/>
      <c r="R40" s="214"/>
      <c r="S40" s="228"/>
      <c r="T40" s="147"/>
      <c r="U40" s="147"/>
      <c r="V40" s="332"/>
      <c r="W40" s="294"/>
      <c r="X40" s="294"/>
      <c r="Y40" s="296"/>
    </row>
    <row r="41" spans="1:25" s="14" customFormat="1" ht="16.5" thickBot="1">
      <c r="A41" s="167"/>
      <c r="B41" s="211" t="s">
        <v>135</v>
      </c>
      <c r="C41" s="179"/>
      <c r="D41" s="33"/>
      <c r="E41" s="33"/>
      <c r="F41" s="33"/>
      <c r="G41" s="109"/>
      <c r="H41" s="109"/>
      <c r="I41" s="216"/>
      <c r="J41" s="212"/>
      <c r="K41" s="147"/>
      <c r="L41" s="147"/>
      <c r="M41" s="147"/>
      <c r="O41" s="150"/>
      <c r="P41" s="213"/>
      <c r="R41" s="214"/>
      <c r="S41" s="228"/>
      <c r="T41" s="147"/>
      <c r="U41" s="159"/>
      <c r="V41" s="333"/>
      <c r="W41" s="334"/>
      <c r="X41" s="294"/>
      <c r="Y41" s="296"/>
    </row>
    <row r="42" spans="1:25" ht="12.75">
      <c r="A42" s="167" t="s">
        <v>42</v>
      </c>
      <c r="B42" s="241" t="s">
        <v>21</v>
      </c>
      <c r="C42" s="233">
        <v>193481</v>
      </c>
      <c r="D42" s="234">
        <v>4521</v>
      </c>
      <c r="E42" s="235"/>
      <c r="F42" s="235" t="s">
        <v>156</v>
      </c>
      <c r="G42" s="236">
        <f aca="true" t="shared" si="7" ref="G42:G69">IF(A42="X",C42,0)</f>
        <v>193481</v>
      </c>
      <c r="H42" s="246">
        <f aca="true" t="shared" si="8" ref="H42:H68">IF(A42="X",D42,0)</f>
        <v>4521</v>
      </c>
      <c r="I42" s="236">
        <f>IF(A42="X",G42,0)</f>
        <v>193481</v>
      </c>
      <c r="J42" s="247">
        <f>SUM(J33+1)</f>
        <v>22</v>
      </c>
      <c r="K42" s="145">
        <v>18</v>
      </c>
      <c r="L42" s="145">
        <v>23</v>
      </c>
      <c r="M42" s="145">
        <v>17</v>
      </c>
      <c r="N42" s="146">
        <v>7</v>
      </c>
      <c r="O42" s="239">
        <f aca="true" t="shared" si="9" ref="O42:O47">SUM(K42:N42)</f>
        <v>65</v>
      </c>
      <c r="P42" s="240" t="s">
        <v>61</v>
      </c>
      <c r="Q42" s="146"/>
      <c r="R42" s="223">
        <f aca="true" t="shared" si="10" ref="R42:R69">+H42/G42</f>
        <v>0.023366635483587535</v>
      </c>
      <c r="S42" s="257">
        <f>+Sheet3!W25</f>
        <v>0.08347783469019028</v>
      </c>
      <c r="T42" s="6">
        <v>2009</v>
      </c>
      <c r="U42" s="283">
        <v>0.2</v>
      </c>
      <c r="V42" s="355">
        <f>G42*(1+U42)</f>
        <v>232177.19999999998</v>
      </c>
      <c r="W42" s="359">
        <v>0</v>
      </c>
      <c r="X42" s="358">
        <v>1</v>
      </c>
      <c r="Y42" s="317" t="s">
        <v>152</v>
      </c>
    </row>
    <row r="43" spans="1:25" ht="12.75">
      <c r="A43" s="167" t="s">
        <v>42</v>
      </c>
      <c r="B43" s="151" t="s">
        <v>24</v>
      </c>
      <c r="C43" s="1">
        <v>76010</v>
      </c>
      <c r="D43" s="31">
        <v>1115</v>
      </c>
      <c r="E43" s="166"/>
      <c r="F43" s="166" t="s">
        <v>156</v>
      </c>
      <c r="G43" s="98">
        <f t="shared" si="7"/>
        <v>76010</v>
      </c>
      <c r="H43" s="109">
        <f t="shared" si="8"/>
        <v>1115</v>
      </c>
      <c r="I43" s="98">
        <f>IF(A43="X",G43,0)</f>
        <v>76010</v>
      </c>
      <c r="J43" s="229">
        <v>23</v>
      </c>
      <c r="K43" s="147">
        <v>20</v>
      </c>
      <c r="L43" s="147">
        <v>39</v>
      </c>
      <c r="M43" s="147">
        <v>27</v>
      </c>
      <c r="N43" s="154">
        <v>26</v>
      </c>
      <c r="O43" s="150">
        <f t="shared" si="9"/>
        <v>112</v>
      </c>
      <c r="P43" s="69" t="s">
        <v>65</v>
      </c>
      <c r="Q43" s="14"/>
      <c r="R43" s="132">
        <f t="shared" si="10"/>
        <v>0.0146691224838837</v>
      </c>
      <c r="S43" s="228">
        <f>+Sheet3!W27</f>
        <v>0.0664849966118064</v>
      </c>
      <c r="T43" s="7">
        <v>2011</v>
      </c>
      <c r="U43" s="284">
        <f>V43/G43-1</f>
        <v>0.6578081831337981</v>
      </c>
      <c r="V43" s="356">
        <f>I43+50000</f>
        <v>126010</v>
      </c>
      <c r="W43" s="360">
        <v>0</v>
      </c>
      <c r="X43" s="314">
        <v>4</v>
      </c>
      <c r="Y43" s="320" t="s">
        <v>153</v>
      </c>
    </row>
    <row r="44" spans="1:25" ht="12.75">
      <c r="A44" s="167" t="s">
        <v>42</v>
      </c>
      <c r="B44" s="152" t="s">
        <v>28</v>
      </c>
      <c r="C44" s="1">
        <v>55719</v>
      </c>
      <c r="D44" s="31">
        <v>1464</v>
      </c>
      <c r="E44" s="166"/>
      <c r="F44" s="166" t="s">
        <v>157</v>
      </c>
      <c r="G44" s="98">
        <f t="shared" si="7"/>
        <v>55719</v>
      </c>
      <c r="H44" s="109">
        <f t="shared" si="8"/>
        <v>1464</v>
      </c>
      <c r="I44" s="98">
        <f>IF(A44="X",G44,0)</f>
        <v>55719</v>
      </c>
      <c r="J44" s="229">
        <f aca="true" t="shared" si="11" ref="J44:J68">SUM(J43+1)</f>
        <v>24</v>
      </c>
      <c r="K44" s="147">
        <v>8</v>
      </c>
      <c r="L44" s="147">
        <v>31</v>
      </c>
      <c r="M44" s="147">
        <v>15</v>
      </c>
      <c r="N44" s="14">
        <v>33</v>
      </c>
      <c r="O44" s="150">
        <f t="shared" si="9"/>
        <v>87</v>
      </c>
      <c r="P44" s="69" t="s">
        <v>67</v>
      </c>
      <c r="Q44" s="14"/>
      <c r="R44" s="132">
        <f t="shared" si="10"/>
        <v>0.026274699833091046</v>
      </c>
      <c r="S44" s="228">
        <f>+Sheet3!W28</f>
        <v>0.0887088494891711</v>
      </c>
      <c r="T44" s="7">
        <v>2006</v>
      </c>
      <c r="U44" s="284">
        <v>0.2</v>
      </c>
      <c r="V44" s="356">
        <f>G44*(1+U44)</f>
        <v>66862.8</v>
      </c>
      <c r="W44" s="360">
        <v>0</v>
      </c>
      <c r="X44" s="314">
        <v>2</v>
      </c>
      <c r="Y44" s="320" t="s">
        <v>153</v>
      </c>
    </row>
    <row r="45" spans="1:25" ht="12.75">
      <c r="A45" s="167" t="s">
        <v>42</v>
      </c>
      <c r="B45" s="151" t="s">
        <v>14</v>
      </c>
      <c r="C45" s="1">
        <v>10334</v>
      </c>
      <c r="D45" s="31">
        <v>5244</v>
      </c>
      <c r="E45" s="166"/>
      <c r="F45" s="166" t="s">
        <v>157</v>
      </c>
      <c r="G45" s="98">
        <f t="shared" si="7"/>
        <v>10334</v>
      </c>
      <c r="H45" s="109">
        <f t="shared" si="8"/>
        <v>5244</v>
      </c>
      <c r="I45" s="104">
        <v>0</v>
      </c>
      <c r="J45" s="229">
        <f t="shared" si="11"/>
        <v>25</v>
      </c>
      <c r="K45" s="147">
        <v>2</v>
      </c>
      <c r="L45" s="147">
        <v>25</v>
      </c>
      <c r="M45" s="147">
        <v>9</v>
      </c>
      <c r="N45" s="14">
        <v>35</v>
      </c>
      <c r="O45" s="150">
        <f t="shared" si="9"/>
        <v>71</v>
      </c>
      <c r="P45" s="69" t="s">
        <v>57</v>
      </c>
      <c r="Q45" s="150">
        <f>G45/H45</f>
        <v>1.9706331045003813</v>
      </c>
      <c r="R45" s="132">
        <f t="shared" si="10"/>
        <v>0.5074511321850204</v>
      </c>
      <c r="S45" s="228">
        <f>+Sheet3!W29</f>
        <v>0.5073126712574867</v>
      </c>
      <c r="T45" s="7" t="s">
        <v>124</v>
      </c>
      <c r="U45" s="284">
        <v>0</v>
      </c>
      <c r="V45" s="356">
        <f aca="true" t="shared" si="12" ref="V45:V66">G45*(1+U45)</f>
        <v>10334</v>
      </c>
      <c r="W45" s="360"/>
      <c r="X45" s="314"/>
      <c r="Y45" s="320"/>
    </row>
    <row r="46" spans="1:25" ht="12.75">
      <c r="A46" s="167" t="s">
        <v>42</v>
      </c>
      <c r="B46" s="151" t="s">
        <v>13</v>
      </c>
      <c r="C46" s="1">
        <v>6231</v>
      </c>
      <c r="D46" s="31">
        <v>2000</v>
      </c>
      <c r="E46" s="166"/>
      <c r="F46" s="166" t="s">
        <v>157</v>
      </c>
      <c r="G46" s="98">
        <f t="shared" si="7"/>
        <v>6231</v>
      </c>
      <c r="H46" s="109">
        <f t="shared" si="8"/>
        <v>2000</v>
      </c>
      <c r="I46" s="98">
        <f>IF(A46="X",G46,0)</f>
        <v>6231</v>
      </c>
      <c r="J46" s="229">
        <f t="shared" si="11"/>
        <v>26</v>
      </c>
      <c r="K46" s="147">
        <v>3</v>
      </c>
      <c r="L46" s="147">
        <v>21</v>
      </c>
      <c r="M46" s="147">
        <v>8</v>
      </c>
      <c r="N46" s="14">
        <v>51</v>
      </c>
      <c r="O46" s="150">
        <f t="shared" si="9"/>
        <v>83</v>
      </c>
      <c r="P46" s="69" t="s">
        <v>57</v>
      </c>
      <c r="Q46" s="150">
        <f>G46/H46</f>
        <v>3.1155</v>
      </c>
      <c r="R46" s="132">
        <f t="shared" si="10"/>
        <v>0.3209757663296421</v>
      </c>
      <c r="S46" s="228">
        <f>+Sheet3!W30</f>
        <v>0.40626184481124944</v>
      </c>
      <c r="T46" s="7" t="s">
        <v>124</v>
      </c>
      <c r="U46" s="284">
        <v>1</v>
      </c>
      <c r="V46" s="356">
        <f t="shared" si="12"/>
        <v>12462</v>
      </c>
      <c r="W46" s="360">
        <v>0</v>
      </c>
      <c r="X46" s="314">
        <v>1</v>
      </c>
      <c r="Y46" s="320" t="s">
        <v>152</v>
      </c>
    </row>
    <row r="47" spans="1:25" ht="12.75">
      <c r="A47" s="167" t="s">
        <v>42</v>
      </c>
      <c r="B47" s="151" t="s">
        <v>16</v>
      </c>
      <c r="C47" s="1">
        <v>15643</v>
      </c>
      <c r="D47" s="31">
        <v>2000</v>
      </c>
      <c r="E47" s="166"/>
      <c r="F47" s="166" t="s">
        <v>157</v>
      </c>
      <c r="G47" s="98">
        <f t="shared" si="7"/>
        <v>15643</v>
      </c>
      <c r="H47" s="109">
        <f t="shared" si="8"/>
        <v>2000</v>
      </c>
      <c r="I47" s="98">
        <f>IF(A47="X",G47,0)</f>
        <v>15643</v>
      </c>
      <c r="J47" s="229">
        <f t="shared" si="11"/>
        <v>27</v>
      </c>
      <c r="K47" s="147">
        <v>16</v>
      </c>
      <c r="L47" s="147">
        <v>26</v>
      </c>
      <c r="M47" s="147">
        <v>42</v>
      </c>
      <c r="N47" s="14">
        <v>2</v>
      </c>
      <c r="O47" s="150">
        <f t="shared" si="9"/>
        <v>86</v>
      </c>
      <c r="P47" s="69" t="s">
        <v>61</v>
      </c>
      <c r="Q47" s="14"/>
      <c r="R47" s="132">
        <f t="shared" si="10"/>
        <v>0.12785271367384773</v>
      </c>
      <c r="S47" s="228">
        <f>+Sheet3!W31</f>
        <v>0.21980538768219712</v>
      </c>
      <c r="T47" s="7">
        <v>2009</v>
      </c>
      <c r="U47" s="284">
        <v>0.4</v>
      </c>
      <c r="V47" s="356">
        <f t="shared" si="12"/>
        <v>21900.199999999997</v>
      </c>
      <c r="W47" s="360" t="s">
        <v>127</v>
      </c>
      <c r="X47" s="314" t="s">
        <v>127</v>
      </c>
      <c r="Y47" s="320" t="s">
        <v>127</v>
      </c>
    </row>
    <row r="48" spans="1:25" ht="12.75">
      <c r="A48" s="167" t="s">
        <v>42</v>
      </c>
      <c r="B48" s="151" t="s">
        <v>82</v>
      </c>
      <c r="C48" s="1">
        <v>144786</v>
      </c>
      <c r="D48" s="31">
        <v>2069</v>
      </c>
      <c r="E48" s="166"/>
      <c r="F48" s="166" t="s">
        <v>156</v>
      </c>
      <c r="G48" s="98">
        <f t="shared" si="7"/>
        <v>144786</v>
      </c>
      <c r="H48" s="109">
        <f t="shared" si="8"/>
        <v>2069</v>
      </c>
      <c r="I48" s="104">
        <v>0</v>
      </c>
      <c r="J48" s="229">
        <f t="shared" si="11"/>
        <v>28</v>
      </c>
      <c r="K48" s="147"/>
      <c r="L48" s="147"/>
      <c r="M48" s="147"/>
      <c r="N48" s="14"/>
      <c r="O48" s="150"/>
      <c r="P48" s="69" t="s">
        <v>71</v>
      </c>
      <c r="Q48" s="14"/>
      <c r="R48" s="132">
        <f t="shared" si="10"/>
        <v>0.014290055668365727</v>
      </c>
      <c r="S48" s="228">
        <f>+Sheet3!W32</f>
        <v>-0.09790244884888163</v>
      </c>
      <c r="T48" s="7">
        <v>2009</v>
      </c>
      <c r="U48" s="284">
        <v>0</v>
      </c>
      <c r="V48" s="356">
        <f t="shared" si="12"/>
        <v>144786</v>
      </c>
      <c r="W48" s="360"/>
      <c r="X48" s="314"/>
      <c r="Y48" s="320"/>
    </row>
    <row r="49" spans="1:25" ht="12.75">
      <c r="A49" s="167" t="s">
        <v>42</v>
      </c>
      <c r="B49" s="151" t="s">
        <v>12</v>
      </c>
      <c r="C49" s="1">
        <v>20833</v>
      </c>
      <c r="D49" s="31">
        <v>2500</v>
      </c>
      <c r="E49" s="166"/>
      <c r="F49" s="166" t="s">
        <v>157</v>
      </c>
      <c r="G49" s="98">
        <f t="shared" si="7"/>
        <v>20833</v>
      </c>
      <c r="H49" s="109">
        <f t="shared" si="8"/>
        <v>2500</v>
      </c>
      <c r="I49" s="98">
        <f>IF(A49="X",G49,0)</f>
        <v>20833</v>
      </c>
      <c r="J49" s="229">
        <f t="shared" si="11"/>
        <v>29</v>
      </c>
      <c r="K49" s="147">
        <v>4</v>
      </c>
      <c r="L49" s="147">
        <v>9</v>
      </c>
      <c r="M49" s="147">
        <v>13</v>
      </c>
      <c r="N49" s="14">
        <v>15</v>
      </c>
      <c r="O49" s="150">
        <f aca="true" t="shared" si="13" ref="O49:O69">SUM(K49:N49)</f>
        <v>41</v>
      </c>
      <c r="P49" s="69" t="s">
        <v>57</v>
      </c>
      <c r="Q49" s="150">
        <f>G49/H49</f>
        <v>8.3332</v>
      </c>
      <c r="R49" s="132">
        <f t="shared" si="10"/>
        <v>0.1200019200307205</v>
      </c>
      <c r="S49" s="228">
        <f>+Sheet3!W33</f>
        <v>0.21134635052261277</v>
      </c>
      <c r="T49" s="7">
        <v>2015</v>
      </c>
      <c r="U49" s="284">
        <v>0</v>
      </c>
      <c r="V49" s="356">
        <f t="shared" si="12"/>
        <v>20833</v>
      </c>
      <c r="W49" s="360"/>
      <c r="X49" s="314"/>
      <c r="Y49" s="320"/>
    </row>
    <row r="50" spans="1:25" ht="12.75">
      <c r="A50" s="167" t="s">
        <v>42</v>
      </c>
      <c r="B50" s="205" t="s">
        <v>6</v>
      </c>
      <c r="C50" s="45">
        <v>465375</v>
      </c>
      <c r="D50" s="46">
        <v>49212</v>
      </c>
      <c r="E50" s="166"/>
      <c r="F50" s="166" t="s">
        <v>156</v>
      </c>
      <c r="G50" s="98">
        <f t="shared" si="7"/>
        <v>465375</v>
      </c>
      <c r="H50" s="109">
        <f t="shared" si="8"/>
        <v>49212</v>
      </c>
      <c r="I50" s="104">
        <v>0</v>
      </c>
      <c r="J50" s="229">
        <f t="shared" si="11"/>
        <v>30</v>
      </c>
      <c r="K50" s="147">
        <v>6</v>
      </c>
      <c r="L50" s="147">
        <v>30</v>
      </c>
      <c r="M50" s="147">
        <v>14</v>
      </c>
      <c r="N50" s="14">
        <v>17</v>
      </c>
      <c r="O50" s="150">
        <f t="shared" si="13"/>
        <v>67</v>
      </c>
      <c r="P50" s="69" t="s">
        <v>57</v>
      </c>
      <c r="Q50" s="150">
        <f>G50/H50</f>
        <v>9.456534991465496</v>
      </c>
      <c r="R50" s="132">
        <f t="shared" si="10"/>
        <v>0.10574697824335214</v>
      </c>
      <c r="S50" s="228">
        <f>+Sheet3!W35</f>
        <v>0.08509875689699153</v>
      </c>
      <c r="T50" s="7">
        <v>2020</v>
      </c>
      <c r="U50" s="284">
        <v>0</v>
      </c>
      <c r="V50" s="356">
        <f t="shared" si="12"/>
        <v>465375</v>
      </c>
      <c r="W50" s="360"/>
      <c r="X50" s="314"/>
      <c r="Y50" s="320"/>
    </row>
    <row r="51" spans="1:25" ht="13.5" thickBot="1">
      <c r="A51" s="217" t="s">
        <v>42</v>
      </c>
      <c r="B51" s="248" t="s">
        <v>23</v>
      </c>
      <c r="C51" s="179">
        <v>18031</v>
      </c>
      <c r="D51" s="33">
        <v>500</v>
      </c>
      <c r="E51" s="33"/>
      <c r="F51" s="166" t="s">
        <v>156</v>
      </c>
      <c r="G51" s="98">
        <f t="shared" si="7"/>
        <v>18031</v>
      </c>
      <c r="H51" s="109">
        <f t="shared" si="8"/>
        <v>500</v>
      </c>
      <c r="I51" s="98">
        <f>IF(A51="X",G51,0)</f>
        <v>18031</v>
      </c>
      <c r="J51" s="229">
        <f t="shared" si="11"/>
        <v>31</v>
      </c>
      <c r="K51" s="147">
        <v>35</v>
      </c>
      <c r="L51" s="147">
        <v>34</v>
      </c>
      <c r="M51" s="147">
        <v>45</v>
      </c>
      <c r="N51" s="14">
        <v>8</v>
      </c>
      <c r="O51" s="150">
        <f t="shared" si="13"/>
        <v>122</v>
      </c>
      <c r="P51" s="69" t="s">
        <v>61</v>
      </c>
      <c r="Q51" s="14"/>
      <c r="R51" s="132">
        <f t="shared" si="10"/>
        <v>0.027730020520215184</v>
      </c>
      <c r="S51" s="228">
        <f>+Sheet3!W36</f>
        <v>0.09125751612477653</v>
      </c>
      <c r="T51" s="7">
        <v>2009</v>
      </c>
      <c r="U51" s="284">
        <v>0.2</v>
      </c>
      <c r="V51" s="356">
        <f t="shared" si="12"/>
        <v>21637.2</v>
      </c>
      <c r="W51" s="360">
        <v>1</v>
      </c>
      <c r="X51" s="314">
        <v>4</v>
      </c>
      <c r="Y51" s="320" t="s">
        <v>153</v>
      </c>
    </row>
    <row r="52" spans="1:25" ht="12.75">
      <c r="A52" s="167" t="s">
        <v>42</v>
      </c>
      <c r="B52" s="149" t="s">
        <v>31</v>
      </c>
      <c r="C52" s="21">
        <v>69846</v>
      </c>
      <c r="D52" s="30">
        <v>6097</v>
      </c>
      <c r="E52" s="166"/>
      <c r="F52" s="166" t="s">
        <v>158</v>
      </c>
      <c r="G52" s="98">
        <f t="shared" si="7"/>
        <v>69846</v>
      </c>
      <c r="H52" s="109">
        <f t="shared" si="8"/>
        <v>6097</v>
      </c>
      <c r="I52" s="104">
        <v>0</v>
      </c>
      <c r="J52" s="229">
        <f t="shared" si="11"/>
        <v>32</v>
      </c>
      <c r="K52" s="147">
        <v>7</v>
      </c>
      <c r="L52" s="147">
        <v>49</v>
      </c>
      <c r="M52" s="147">
        <v>19</v>
      </c>
      <c r="N52" s="14">
        <v>34</v>
      </c>
      <c r="O52" s="150">
        <f t="shared" si="13"/>
        <v>109</v>
      </c>
      <c r="P52" s="69" t="s">
        <v>57</v>
      </c>
      <c r="Q52" s="150">
        <f>G52/H52</f>
        <v>11.455797933409874</v>
      </c>
      <c r="R52" s="132">
        <f t="shared" si="10"/>
        <v>0.08729204249348567</v>
      </c>
      <c r="S52" s="228">
        <f>+Sheet3!W38</f>
        <v>0.0601518217026627</v>
      </c>
      <c r="T52" s="7" t="s">
        <v>124</v>
      </c>
      <c r="U52" s="284">
        <v>0</v>
      </c>
      <c r="V52" s="356">
        <f t="shared" si="12"/>
        <v>69846</v>
      </c>
      <c r="W52" s="360"/>
      <c r="X52" s="314"/>
      <c r="Y52" s="320"/>
    </row>
    <row r="53" spans="1:25" ht="12.75">
      <c r="A53" s="167" t="s">
        <v>42</v>
      </c>
      <c r="B53" s="151" t="s">
        <v>36</v>
      </c>
      <c r="C53" s="1">
        <v>25509</v>
      </c>
      <c r="D53" s="31">
        <v>15098</v>
      </c>
      <c r="E53" s="166"/>
      <c r="F53" s="166" t="s">
        <v>158</v>
      </c>
      <c r="G53" s="98">
        <f t="shared" si="7"/>
        <v>25509</v>
      </c>
      <c r="H53" s="109">
        <f t="shared" si="8"/>
        <v>15098</v>
      </c>
      <c r="I53" s="104">
        <v>0</v>
      </c>
      <c r="J53" s="229">
        <f t="shared" si="11"/>
        <v>33</v>
      </c>
      <c r="K53" s="147">
        <v>24</v>
      </c>
      <c r="L53" s="147">
        <v>48</v>
      </c>
      <c r="M53" s="147">
        <v>2</v>
      </c>
      <c r="N53" s="14">
        <v>45</v>
      </c>
      <c r="O53" s="150">
        <f t="shared" si="13"/>
        <v>119</v>
      </c>
      <c r="P53" s="69" t="s">
        <v>64</v>
      </c>
      <c r="Q53" s="14"/>
      <c r="R53" s="132">
        <f t="shared" si="10"/>
        <v>0.5918695362421106</v>
      </c>
      <c r="S53" s="228">
        <f>+Sheet3!W41</f>
        <v>0.5918152896387427</v>
      </c>
      <c r="T53" s="7" t="s">
        <v>124</v>
      </c>
      <c r="U53" s="284">
        <v>0</v>
      </c>
      <c r="V53" s="356">
        <f t="shared" si="12"/>
        <v>25509</v>
      </c>
      <c r="W53" s="360"/>
      <c r="X53" s="314"/>
      <c r="Y53" s="320"/>
    </row>
    <row r="54" spans="1:25" ht="12.75">
      <c r="A54" s="167" t="s">
        <v>42</v>
      </c>
      <c r="B54" s="151" t="s">
        <v>33</v>
      </c>
      <c r="C54" s="1">
        <v>541391</v>
      </c>
      <c r="D54" s="31">
        <v>7500</v>
      </c>
      <c r="E54" s="166"/>
      <c r="F54" s="166" t="s">
        <v>158</v>
      </c>
      <c r="G54" s="98">
        <f t="shared" si="7"/>
        <v>541391</v>
      </c>
      <c r="H54" s="109">
        <f t="shared" si="8"/>
        <v>7500</v>
      </c>
      <c r="I54" s="98">
        <f>IF(A54="X",G54,0)</f>
        <v>541391</v>
      </c>
      <c r="J54" s="229">
        <f t="shared" si="11"/>
        <v>34</v>
      </c>
      <c r="K54" s="147">
        <v>37</v>
      </c>
      <c r="L54" s="147">
        <v>37</v>
      </c>
      <c r="M54" s="147">
        <v>10</v>
      </c>
      <c r="N54" s="14">
        <v>47</v>
      </c>
      <c r="O54" s="150">
        <f t="shared" si="13"/>
        <v>131</v>
      </c>
      <c r="P54" s="69" t="s">
        <v>68</v>
      </c>
      <c r="Q54" s="14"/>
      <c r="R54" s="132">
        <f t="shared" si="10"/>
        <v>0.013853204061390012</v>
      </c>
      <c r="S54" s="228">
        <f>+Sheet3!W42</f>
        <v>0.06476366139786024</v>
      </c>
      <c r="T54" s="7">
        <v>2007</v>
      </c>
      <c r="U54" s="284">
        <v>0.2</v>
      </c>
      <c r="V54" s="356">
        <f t="shared" si="12"/>
        <v>649669.2</v>
      </c>
      <c r="W54" s="360" t="s">
        <v>127</v>
      </c>
      <c r="X54" s="314" t="s">
        <v>127</v>
      </c>
      <c r="Y54" s="320" t="s">
        <v>127</v>
      </c>
    </row>
    <row r="55" spans="1:25" ht="12.75">
      <c r="A55" s="167" t="s">
        <v>42</v>
      </c>
      <c r="B55" s="151" t="s">
        <v>8</v>
      </c>
      <c r="C55" s="1">
        <v>77134</v>
      </c>
      <c r="D55" s="31">
        <v>500</v>
      </c>
      <c r="E55" s="166"/>
      <c r="F55" s="166" t="s">
        <v>158</v>
      </c>
      <c r="G55" s="98">
        <f t="shared" si="7"/>
        <v>77134</v>
      </c>
      <c r="H55" s="109">
        <f t="shared" si="8"/>
        <v>500</v>
      </c>
      <c r="I55" s="98">
        <f>IF(A55="X",G55,0)</f>
        <v>77134</v>
      </c>
      <c r="J55" s="229">
        <f t="shared" si="11"/>
        <v>35</v>
      </c>
      <c r="K55" s="147">
        <v>30</v>
      </c>
      <c r="L55" s="147">
        <v>14</v>
      </c>
      <c r="M55" s="147">
        <v>34</v>
      </c>
      <c r="N55" s="14">
        <v>43</v>
      </c>
      <c r="O55" s="150">
        <f t="shared" si="13"/>
        <v>121</v>
      </c>
      <c r="P55" s="69" t="s">
        <v>66</v>
      </c>
      <c r="Q55" s="14"/>
      <c r="R55" s="132">
        <f t="shared" si="10"/>
        <v>0.0064822257370290666</v>
      </c>
      <c r="S55" s="228">
        <f>+Sheet3!W43</f>
        <v>0.04784105053154954</v>
      </c>
      <c r="T55" s="7">
        <v>2011</v>
      </c>
      <c r="U55" s="284">
        <v>0</v>
      </c>
      <c r="V55" s="356">
        <f t="shared" si="12"/>
        <v>77134</v>
      </c>
      <c r="W55" s="360"/>
      <c r="X55" s="314"/>
      <c r="Y55" s="320"/>
    </row>
    <row r="56" spans="1:25" ht="12.75">
      <c r="A56" s="167" t="s">
        <v>42</v>
      </c>
      <c r="B56" s="151" t="s">
        <v>17</v>
      </c>
      <c r="C56" s="1">
        <v>293398</v>
      </c>
      <c r="D56" s="31">
        <v>1214</v>
      </c>
      <c r="E56" s="166"/>
      <c r="F56" s="166" t="s">
        <v>158</v>
      </c>
      <c r="G56" s="98">
        <f t="shared" si="7"/>
        <v>293398</v>
      </c>
      <c r="H56" s="109">
        <f t="shared" si="8"/>
        <v>1214</v>
      </c>
      <c r="I56" s="104">
        <v>0</v>
      </c>
      <c r="J56" s="229">
        <f t="shared" si="11"/>
        <v>36</v>
      </c>
      <c r="K56" s="147">
        <v>36</v>
      </c>
      <c r="L56" s="147">
        <v>43</v>
      </c>
      <c r="M56" s="147">
        <v>18</v>
      </c>
      <c r="N56" s="14">
        <v>18</v>
      </c>
      <c r="O56" s="150">
        <f t="shared" si="13"/>
        <v>115</v>
      </c>
      <c r="P56" s="69" t="s">
        <v>62</v>
      </c>
      <c r="Q56" s="14"/>
      <c r="R56" s="132">
        <f t="shared" si="10"/>
        <v>0.004137724183532266</v>
      </c>
      <c r="S56" s="228">
        <f>+Sheet3!W44</f>
        <v>-0.17071338114543264</v>
      </c>
      <c r="T56" s="7" t="s">
        <v>124</v>
      </c>
      <c r="U56" s="284">
        <v>0</v>
      </c>
      <c r="V56" s="356">
        <f t="shared" si="12"/>
        <v>293398</v>
      </c>
      <c r="W56" s="360"/>
      <c r="X56" s="314"/>
      <c r="Y56" s="320"/>
    </row>
    <row r="57" spans="1:25" ht="12.75">
      <c r="A57" s="207" t="s">
        <v>42</v>
      </c>
      <c r="B57" s="152" t="s">
        <v>38</v>
      </c>
      <c r="C57" s="1">
        <v>1617630</v>
      </c>
      <c r="D57" s="31">
        <v>39023</v>
      </c>
      <c r="E57" s="166"/>
      <c r="F57" s="166" t="s">
        <v>158</v>
      </c>
      <c r="G57" s="107">
        <f t="shared" si="7"/>
        <v>1617630</v>
      </c>
      <c r="H57" s="227">
        <f t="shared" si="8"/>
        <v>39023</v>
      </c>
      <c r="I57" s="108">
        <v>0</v>
      </c>
      <c r="J57" s="229">
        <f t="shared" si="11"/>
        <v>37</v>
      </c>
      <c r="K57" s="147">
        <v>49</v>
      </c>
      <c r="L57" s="147">
        <v>28</v>
      </c>
      <c r="M57" s="147">
        <v>5</v>
      </c>
      <c r="N57" s="14">
        <v>42</v>
      </c>
      <c r="O57" s="150">
        <f t="shared" si="13"/>
        <v>124</v>
      </c>
      <c r="P57" s="69" t="s">
        <v>72</v>
      </c>
      <c r="Q57" s="14"/>
      <c r="R57" s="132">
        <f t="shared" si="10"/>
        <v>0.024123563484851295</v>
      </c>
      <c r="S57" s="228">
        <f>+Sheet3!W45</f>
        <v>-0.06122141357320051</v>
      </c>
      <c r="T57" s="7" t="s">
        <v>124</v>
      </c>
      <c r="U57" s="284">
        <v>0</v>
      </c>
      <c r="V57" s="356">
        <f t="shared" si="12"/>
        <v>1617630</v>
      </c>
      <c r="W57" s="360"/>
      <c r="X57" s="314"/>
      <c r="Y57" s="320"/>
    </row>
    <row r="58" spans="1:25" ht="12.75">
      <c r="A58" s="167" t="s">
        <v>42</v>
      </c>
      <c r="B58" s="151" t="s">
        <v>37</v>
      </c>
      <c r="C58" s="204">
        <v>187123</v>
      </c>
      <c r="D58" s="31">
        <v>10144</v>
      </c>
      <c r="E58" s="166"/>
      <c r="F58" s="166" t="s">
        <v>158</v>
      </c>
      <c r="G58" s="98">
        <f t="shared" si="7"/>
        <v>187123</v>
      </c>
      <c r="H58" s="109">
        <f t="shared" si="8"/>
        <v>10144</v>
      </c>
      <c r="I58" s="104">
        <v>0</v>
      </c>
      <c r="J58" s="229">
        <f t="shared" si="11"/>
        <v>38</v>
      </c>
      <c r="K58" s="147">
        <v>34</v>
      </c>
      <c r="L58" s="147">
        <v>46</v>
      </c>
      <c r="M58" s="147">
        <v>25</v>
      </c>
      <c r="N58" s="14">
        <v>20</v>
      </c>
      <c r="O58" s="150">
        <f t="shared" si="13"/>
        <v>125</v>
      </c>
      <c r="P58" s="69" t="s">
        <v>64</v>
      </c>
      <c r="Q58" s="14"/>
      <c r="R58" s="132">
        <f t="shared" si="10"/>
        <v>0.05421033224135996</v>
      </c>
      <c r="S58" s="228">
        <f>+Sheet3!W46</f>
        <v>0.007826540692258997</v>
      </c>
      <c r="T58" s="7" t="s">
        <v>124</v>
      </c>
      <c r="U58" s="284">
        <v>0</v>
      </c>
      <c r="V58" s="356">
        <f t="shared" si="12"/>
        <v>187123</v>
      </c>
      <c r="W58" s="360"/>
      <c r="X58" s="314"/>
      <c r="Y58" s="320"/>
    </row>
    <row r="59" spans="1:25" ht="12.75">
      <c r="A59" s="167" t="s">
        <v>42</v>
      </c>
      <c r="B59" s="151" t="s">
        <v>7</v>
      </c>
      <c r="C59" s="1">
        <f>567402+10000</f>
        <v>577402</v>
      </c>
      <c r="D59" s="31">
        <v>42719.5</v>
      </c>
      <c r="E59" s="166"/>
      <c r="F59" s="166" t="s">
        <v>158</v>
      </c>
      <c r="G59" s="98">
        <f t="shared" si="7"/>
        <v>577402</v>
      </c>
      <c r="H59" s="109">
        <f t="shared" si="8"/>
        <v>42719.5</v>
      </c>
      <c r="I59" s="104">
        <v>0</v>
      </c>
      <c r="J59" s="229">
        <f t="shared" si="11"/>
        <v>39</v>
      </c>
      <c r="K59" s="147">
        <v>22</v>
      </c>
      <c r="L59" s="147">
        <v>17</v>
      </c>
      <c r="M59" s="147">
        <v>12</v>
      </c>
      <c r="N59" s="14">
        <v>36</v>
      </c>
      <c r="O59" s="150">
        <f t="shared" si="13"/>
        <v>87</v>
      </c>
      <c r="P59" s="69" t="s">
        <v>58</v>
      </c>
      <c r="Q59" s="150">
        <f>G59/H59</f>
        <v>13.516122613794638</v>
      </c>
      <c r="R59" s="132">
        <f t="shared" si="10"/>
        <v>0.07398571532485167</v>
      </c>
      <c r="S59" s="228">
        <f>+Sheet3!W47</f>
        <v>0.04061912888493041</v>
      </c>
      <c r="T59" s="7">
        <v>2020</v>
      </c>
      <c r="U59" s="284">
        <v>0</v>
      </c>
      <c r="V59" s="356">
        <f t="shared" si="12"/>
        <v>577402</v>
      </c>
      <c r="W59" s="360"/>
      <c r="X59" s="314"/>
      <c r="Y59" s="320"/>
    </row>
    <row r="60" spans="1:25" s="43" customFormat="1" ht="12.75">
      <c r="A60" s="167" t="s">
        <v>42</v>
      </c>
      <c r="B60" s="151" t="s">
        <v>9</v>
      </c>
      <c r="C60" s="1">
        <v>130023</v>
      </c>
      <c r="D60" s="31">
        <v>8214</v>
      </c>
      <c r="E60" s="166"/>
      <c r="F60" s="166" t="s">
        <v>158</v>
      </c>
      <c r="G60" s="98">
        <f t="shared" si="7"/>
        <v>130023</v>
      </c>
      <c r="H60" s="109">
        <f t="shared" si="8"/>
        <v>8214</v>
      </c>
      <c r="I60" s="104">
        <v>0</v>
      </c>
      <c r="J60" s="229">
        <f t="shared" si="11"/>
        <v>40</v>
      </c>
      <c r="K60" s="147">
        <v>9</v>
      </c>
      <c r="L60" s="147">
        <v>33</v>
      </c>
      <c r="M60" s="147">
        <v>22</v>
      </c>
      <c r="N60" s="14">
        <v>32</v>
      </c>
      <c r="O60" s="150">
        <f t="shared" si="13"/>
        <v>96</v>
      </c>
      <c r="P60" s="69" t="s">
        <v>58</v>
      </c>
      <c r="Q60" s="150">
        <f>G60/H60</f>
        <v>15.829437545653763</v>
      </c>
      <c r="R60" s="132">
        <f t="shared" si="10"/>
        <v>0.06317343854548811</v>
      </c>
      <c r="S60" s="228">
        <f>+Sheet3!W48</f>
        <v>0.023386368378838958</v>
      </c>
      <c r="T60" s="7">
        <v>2020</v>
      </c>
      <c r="U60" s="284">
        <v>0</v>
      </c>
      <c r="V60" s="356">
        <f t="shared" si="12"/>
        <v>130023</v>
      </c>
      <c r="W60" s="360"/>
      <c r="X60" s="314"/>
      <c r="Y60" s="320"/>
    </row>
    <row r="61" spans="1:25" ht="12.75">
      <c r="A61" s="207" t="s">
        <v>42</v>
      </c>
      <c r="B61" s="151" t="s">
        <v>56</v>
      </c>
      <c r="C61" s="1">
        <f>324248+100000</f>
        <v>424248</v>
      </c>
      <c r="D61" s="31">
        <v>26327</v>
      </c>
      <c r="E61" s="166"/>
      <c r="F61" s="166" t="s">
        <v>158</v>
      </c>
      <c r="G61" s="107">
        <f t="shared" si="7"/>
        <v>424248</v>
      </c>
      <c r="H61" s="227">
        <f t="shared" si="8"/>
        <v>26327</v>
      </c>
      <c r="I61" s="107">
        <f>IF(A61="X",G61,0)</f>
        <v>424248</v>
      </c>
      <c r="J61" s="229">
        <f t="shared" si="11"/>
        <v>41</v>
      </c>
      <c r="K61" s="161">
        <v>38</v>
      </c>
      <c r="L61" s="161">
        <v>24</v>
      </c>
      <c r="M61" s="161">
        <v>50</v>
      </c>
      <c r="N61" s="19">
        <v>25</v>
      </c>
      <c r="O61" s="162">
        <f t="shared" si="13"/>
        <v>137</v>
      </c>
      <c r="P61" s="76" t="s">
        <v>63</v>
      </c>
      <c r="Q61" s="19"/>
      <c r="R61" s="163">
        <f t="shared" si="10"/>
        <v>0.06205568441100488</v>
      </c>
      <c r="S61" s="228">
        <f>+Sheet3!W49</f>
        <v>-1</v>
      </c>
      <c r="T61" s="41" t="s">
        <v>124</v>
      </c>
      <c r="U61" s="284">
        <v>0.2</v>
      </c>
      <c r="V61" s="356">
        <f t="shared" si="12"/>
        <v>509097.6</v>
      </c>
      <c r="W61" s="360" t="s">
        <v>127</v>
      </c>
      <c r="X61" s="314" t="s">
        <v>127</v>
      </c>
      <c r="Y61" s="320" t="s">
        <v>147</v>
      </c>
    </row>
    <row r="62" spans="1:25" ht="12.75">
      <c r="A62" s="167" t="s">
        <v>42</v>
      </c>
      <c r="B62" s="151" t="s">
        <v>26</v>
      </c>
      <c r="C62" s="1">
        <v>295796</v>
      </c>
      <c r="D62" s="31">
        <v>500</v>
      </c>
      <c r="E62" s="166"/>
      <c r="F62" s="166" t="s">
        <v>158</v>
      </c>
      <c r="G62" s="98">
        <f t="shared" si="7"/>
        <v>295796</v>
      </c>
      <c r="H62" s="109">
        <f t="shared" si="8"/>
        <v>500</v>
      </c>
      <c r="I62" s="104">
        <v>0</v>
      </c>
      <c r="J62" s="229">
        <f t="shared" si="11"/>
        <v>42</v>
      </c>
      <c r="K62" s="147">
        <v>44</v>
      </c>
      <c r="L62" s="147">
        <v>44</v>
      </c>
      <c r="M62" s="147">
        <v>32</v>
      </c>
      <c r="N62" s="14">
        <v>21</v>
      </c>
      <c r="O62" s="150">
        <f t="shared" si="13"/>
        <v>141</v>
      </c>
      <c r="P62" s="69" t="s">
        <v>64</v>
      </c>
      <c r="Q62" s="14"/>
      <c r="R62" s="132">
        <f t="shared" si="10"/>
        <v>0.0016903541630042325</v>
      </c>
      <c r="S62" s="228">
        <f>+Sheet3!W50</f>
        <v>-0.21557955121622357</v>
      </c>
      <c r="T62" s="7">
        <v>2009</v>
      </c>
      <c r="U62" s="284">
        <v>0</v>
      </c>
      <c r="V62" s="356">
        <f t="shared" si="12"/>
        <v>295796</v>
      </c>
      <c r="W62" s="360"/>
      <c r="X62" s="314"/>
      <c r="Y62" s="320"/>
    </row>
    <row r="63" spans="1:25" ht="12.75">
      <c r="A63" s="167" t="s">
        <v>42</v>
      </c>
      <c r="B63" s="151" t="s">
        <v>111</v>
      </c>
      <c r="C63" s="1">
        <v>77464</v>
      </c>
      <c r="D63" s="31">
        <v>1332</v>
      </c>
      <c r="E63" s="166"/>
      <c r="F63" s="166" t="s">
        <v>156</v>
      </c>
      <c r="G63" s="98">
        <f t="shared" si="7"/>
        <v>77464</v>
      </c>
      <c r="H63" s="109">
        <f t="shared" si="8"/>
        <v>1332</v>
      </c>
      <c r="I63" s="98">
        <f>IF(A63="X",G63,0)</f>
        <v>77464</v>
      </c>
      <c r="J63" s="229">
        <f t="shared" si="11"/>
        <v>43</v>
      </c>
      <c r="K63" s="147">
        <v>46</v>
      </c>
      <c r="L63" s="147">
        <v>38</v>
      </c>
      <c r="M63" s="147">
        <v>46</v>
      </c>
      <c r="N63" s="14">
        <v>40</v>
      </c>
      <c r="O63" s="150">
        <f t="shared" si="13"/>
        <v>170</v>
      </c>
      <c r="P63" s="69" t="s">
        <v>61</v>
      </c>
      <c r="Q63" s="14"/>
      <c r="R63" s="132">
        <f t="shared" si="10"/>
        <v>0.01719508416812971</v>
      </c>
      <c r="S63" s="228">
        <f>+Sheet3!W51</f>
        <v>0.07166052552798241</v>
      </c>
      <c r="T63" s="7">
        <v>2011</v>
      </c>
      <c r="U63" s="284">
        <v>0.2</v>
      </c>
      <c r="V63" s="356">
        <f t="shared" si="12"/>
        <v>92956.8</v>
      </c>
      <c r="W63" s="360">
        <v>0</v>
      </c>
      <c r="X63" s="314">
        <v>1</v>
      </c>
      <c r="Y63" s="320" t="s">
        <v>153</v>
      </c>
    </row>
    <row r="64" spans="1:25" s="43" customFormat="1" ht="12.75">
      <c r="A64" s="167" t="s">
        <v>42</v>
      </c>
      <c r="B64" s="155" t="s">
        <v>34</v>
      </c>
      <c r="C64" s="1">
        <v>40139</v>
      </c>
      <c r="D64" s="31">
        <v>2500</v>
      </c>
      <c r="E64" s="166"/>
      <c r="F64" s="166" t="s">
        <v>158</v>
      </c>
      <c r="G64" s="98">
        <f t="shared" si="7"/>
        <v>40139</v>
      </c>
      <c r="H64" s="109">
        <f t="shared" si="8"/>
        <v>2500</v>
      </c>
      <c r="I64" s="98">
        <f>IF(A64="X",G64,0)</f>
        <v>40139</v>
      </c>
      <c r="J64" s="229">
        <f t="shared" si="11"/>
        <v>44</v>
      </c>
      <c r="K64" s="147">
        <v>31</v>
      </c>
      <c r="L64" s="147">
        <v>32</v>
      </c>
      <c r="M64" s="147">
        <v>20</v>
      </c>
      <c r="N64" s="14">
        <v>50</v>
      </c>
      <c r="O64" s="150">
        <f t="shared" si="13"/>
        <v>133</v>
      </c>
      <c r="P64" s="69" t="s">
        <v>57</v>
      </c>
      <c r="Q64" s="150">
        <f>G64/H64</f>
        <v>16.0556</v>
      </c>
      <c r="R64" s="132">
        <f t="shared" si="10"/>
        <v>0.06228356461296993</v>
      </c>
      <c r="S64" s="228">
        <f>+Sheet3!W52</f>
        <v>0.14294121558051393</v>
      </c>
      <c r="T64" s="7" t="s">
        <v>124</v>
      </c>
      <c r="U64" s="284">
        <v>0</v>
      </c>
      <c r="V64" s="356">
        <f t="shared" si="12"/>
        <v>40139</v>
      </c>
      <c r="W64" s="360"/>
      <c r="X64" s="314"/>
      <c r="Y64" s="320"/>
    </row>
    <row r="65" spans="1:25" ht="12.75">
      <c r="A65" s="167" t="s">
        <v>42</v>
      </c>
      <c r="B65" s="205" t="s">
        <v>30</v>
      </c>
      <c r="C65" s="45">
        <v>17961</v>
      </c>
      <c r="D65" s="46">
        <v>500</v>
      </c>
      <c r="E65" s="166"/>
      <c r="F65" s="166" t="s">
        <v>158</v>
      </c>
      <c r="G65" s="98">
        <f t="shared" si="7"/>
        <v>17961</v>
      </c>
      <c r="H65" s="109">
        <f t="shared" si="8"/>
        <v>500</v>
      </c>
      <c r="I65" s="104">
        <v>0</v>
      </c>
      <c r="J65" s="229">
        <f t="shared" si="11"/>
        <v>45</v>
      </c>
      <c r="K65" s="147">
        <v>41</v>
      </c>
      <c r="L65" s="147">
        <v>16</v>
      </c>
      <c r="M65" s="147">
        <v>49</v>
      </c>
      <c r="N65" s="14">
        <v>37</v>
      </c>
      <c r="O65" s="150">
        <f t="shared" si="13"/>
        <v>143</v>
      </c>
      <c r="P65" s="69" t="s">
        <v>63</v>
      </c>
      <c r="Q65" s="14"/>
      <c r="R65" s="132">
        <f t="shared" si="10"/>
        <v>0.02783809364734703</v>
      </c>
      <c r="S65" s="228">
        <f>+Sheet3!W53</f>
        <v>-0.05028664197219754</v>
      </c>
      <c r="T65" s="7" t="s">
        <v>124</v>
      </c>
      <c r="U65" s="284">
        <v>0</v>
      </c>
      <c r="V65" s="356">
        <f t="shared" si="12"/>
        <v>17961</v>
      </c>
      <c r="W65" s="360"/>
      <c r="X65" s="314"/>
      <c r="Y65" s="320"/>
    </row>
    <row r="66" spans="1:25" ht="12.75">
      <c r="A66" s="167" t="s">
        <v>42</v>
      </c>
      <c r="B66" s="248" t="s">
        <v>48</v>
      </c>
      <c r="C66" s="179">
        <v>136921</v>
      </c>
      <c r="D66" s="33">
        <v>3000</v>
      </c>
      <c r="E66" s="338"/>
      <c r="F66" s="166" t="s">
        <v>158</v>
      </c>
      <c r="G66" s="98">
        <f t="shared" si="7"/>
        <v>136921</v>
      </c>
      <c r="H66" s="98">
        <f t="shared" si="8"/>
        <v>3000</v>
      </c>
      <c r="I66" s="104">
        <v>0</v>
      </c>
      <c r="J66" s="229">
        <f t="shared" si="11"/>
        <v>46</v>
      </c>
      <c r="K66" s="147">
        <v>43</v>
      </c>
      <c r="L66" s="147">
        <v>45</v>
      </c>
      <c r="M66" s="147">
        <v>48</v>
      </c>
      <c r="N66" s="14">
        <v>39</v>
      </c>
      <c r="O66" s="150">
        <f t="shared" si="13"/>
        <v>175</v>
      </c>
      <c r="P66" s="339" t="s">
        <v>63</v>
      </c>
      <c r="Q66" s="14"/>
      <c r="R66" s="132">
        <f t="shared" si="10"/>
        <v>0.021910444708992775</v>
      </c>
      <c r="S66" s="228">
        <f>+Sheet3!W54</f>
        <v>-0.06832828412785784</v>
      </c>
      <c r="T66" s="7" t="s">
        <v>124</v>
      </c>
      <c r="U66" s="337">
        <v>0</v>
      </c>
      <c r="V66" s="325">
        <f t="shared" si="12"/>
        <v>136921</v>
      </c>
      <c r="W66" s="360"/>
      <c r="X66" s="314"/>
      <c r="Y66" s="320"/>
    </row>
    <row r="67" spans="1:25" ht="12.75">
      <c r="A67" s="167" t="s">
        <v>42</v>
      </c>
      <c r="B67" s="248" t="s">
        <v>11</v>
      </c>
      <c r="C67" s="179">
        <v>6957</v>
      </c>
      <c r="D67" s="33">
        <v>342</v>
      </c>
      <c r="E67" s="338"/>
      <c r="F67" s="166" t="s">
        <v>158</v>
      </c>
      <c r="G67" s="98">
        <f t="shared" si="7"/>
        <v>6957</v>
      </c>
      <c r="H67" s="98">
        <f t="shared" si="8"/>
        <v>342</v>
      </c>
      <c r="I67" s="98">
        <f>IF(A67="X",G67,0)</f>
        <v>6957</v>
      </c>
      <c r="J67" s="229">
        <f t="shared" si="11"/>
        <v>47</v>
      </c>
      <c r="K67" s="147">
        <v>32</v>
      </c>
      <c r="L67" s="147">
        <v>11</v>
      </c>
      <c r="M67" s="147">
        <v>18</v>
      </c>
      <c r="N67" s="14">
        <v>16</v>
      </c>
      <c r="O67" s="150">
        <f t="shared" si="13"/>
        <v>77</v>
      </c>
      <c r="P67" s="339" t="s">
        <v>57</v>
      </c>
      <c r="Q67" s="150">
        <f>G67/H67</f>
        <v>20.342105263157894</v>
      </c>
      <c r="R67" s="132">
        <f t="shared" si="10"/>
        <v>0.04915912031047866</v>
      </c>
      <c r="S67" s="228">
        <f>+Sheet3!W55</f>
        <v>0.12485996918187796</v>
      </c>
      <c r="T67" s="7">
        <v>2006</v>
      </c>
      <c r="U67" s="337">
        <v>0</v>
      </c>
      <c r="V67" s="325">
        <f>G67*(1+U67)</f>
        <v>6957</v>
      </c>
      <c r="W67" s="360"/>
      <c r="X67" s="314"/>
      <c r="Y67" s="320"/>
    </row>
    <row r="68" spans="1:25" ht="12.75">
      <c r="A68" s="167" t="s">
        <v>42</v>
      </c>
      <c r="B68" s="149" t="s">
        <v>18</v>
      </c>
      <c r="C68" s="21">
        <v>39831</v>
      </c>
      <c r="D68" s="30">
        <v>500</v>
      </c>
      <c r="E68" s="166"/>
      <c r="F68" s="166" t="s">
        <v>158</v>
      </c>
      <c r="G68" s="107">
        <f t="shared" si="7"/>
        <v>39831</v>
      </c>
      <c r="H68" s="227">
        <f t="shared" si="8"/>
        <v>500</v>
      </c>
      <c r="I68" s="108">
        <v>0</v>
      </c>
      <c r="J68" s="229">
        <f t="shared" si="11"/>
        <v>48</v>
      </c>
      <c r="K68" s="156">
        <v>52</v>
      </c>
      <c r="L68" s="156">
        <v>51</v>
      </c>
      <c r="M68" s="156">
        <v>21</v>
      </c>
      <c r="N68" s="157">
        <v>52</v>
      </c>
      <c r="O68" s="158">
        <f t="shared" si="13"/>
        <v>176</v>
      </c>
      <c r="P68" s="69" t="s">
        <v>63</v>
      </c>
      <c r="Q68" s="14"/>
      <c r="R68" s="132">
        <f t="shared" si="10"/>
        <v>0.012553036579548593</v>
      </c>
      <c r="S68" s="214">
        <f>+Sheet3!W56</f>
        <v>-0.10631593428665981</v>
      </c>
      <c r="T68" s="7" t="s">
        <v>124</v>
      </c>
      <c r="U68" s="284">
        <v>0</v>
      </c>
      <c r="V68" s="356">
        <f>G68*(1+U68)</f>
        <v>39831</v>
      </c>
      <c r="W68" s="360"/>
      <c r="X68" s="314"/>
      <c r="Y68" s="320"/>
    </row>
    <row r="69" spans="1:25" s="164" customFormat="1" ht="13.5" thickBot="1">
      <c r="A69" s="245" t="s">
        <v>42</v>
      </c>
      <c r="B69" s="342" t="s">
        <v>119</v>
      </c>
      <c r="C69" s="343">
        <f>70000*1.25</f>
        <v>87500</v>
      </c>
      <c r="D69" s="344">
        <f>+(6191)*0</f>
        <v>0</v>
      </c>
      <c r="E69" s="345"/>
      <c r="F69" s="345" t="s">
        <v>158</v>
      </c>
      <c r="G69" s="346">
        <f t="shared" si="7"/>
        <v>87500</v>
      </c>
      <c r="H69" s="347">
        <v>0</v>
      </c>
      <c r="I69" s="348">
        <v>0</v>
      </c>
      <c r="J69" s="230">
        <f>SUM(J68+1)</f>
        <v>49</v>
      </c>
      <c r="K69" s="349">
        <v>51</v>
      </c>
      <c r="L69" s="349">
        <v>47</v>
      </c>
      <c r="M69" s="349">
        <v>51</v>
      </c>
      <c r="N69" s="350">
        <v>27</v>
      </c>
      <c r="O69" s="351">
        <f t="shared" si="13"/>
        <v>176</v>
      </c>
      <c r="P69" s="352" t="s">
        <v>63</v>
      </c>
      <c r="Q69" s="350"/>
      <c r="R69" s="340">
        <f t="shared" si="10"/>
        <v>0</v>
      </c>
      <c r="S69" s="353" t="s">
        <v>124</v>
      </c>
      <c r="T69" s="341" t="s">
        <v>124</v>
      </c>
      <c r="U69" s="285">
        <v>0</v>
      </c>
      <c r="V69" s="357">
        <f>G69*(1+U69)</f>
        <v>87500</v>
      </c>
      <c r="W69" s="361"/>
      <c r="X69" s="326"/>
      <c r="Y69" s="354"/>
    </row>
    <row r="70" spans="1:25" ht="13.5" thickBot="1">
      <c r="A70" s="217"/>
      <c r="B70" s="272"/>
      <c r="C70" s="273"/>
      <c r="D70" s="274"/>
      <c r="E70" s="274" t="s">
        <v>136</v>
      </c>
      <c r="F70" s="274"/>
      <c r="G70" s="258">
        <f>SUM(G42:G69)</f>
        <v>5652716</v>
      </c>
      <c r="H70" s="275">
        <f>SUM(H42:H69)</f>
        <v>236135.5</v>
      </c>
      <c r="I70" s="258">
        <f>SUM(I42:I69)</f>
        <v>1553281</v>
      </c>
      <c r="J70" s="276"/>
      <c r="K70" s="219"/>
      <c r="L70" s="219"/>
      <c r="M70" s="219"/>
      <c r="N70" s="219"/>
      <c r="O70" s="218"/>
      <c r="P70" s="220"/>
      <c r="Q70" s="218"/>
      <c r="R70" s="260"/>
      <c r="S70" s="277"/>
      <c r="T70" s="9"/>
      <c r="U70" s="261"/>
      <c r="V70" s="327">
        <f>SUM(V42:V69)</f>
        <v>5977270.999999999</v>
      </c>
      <c r="W70" s="323"/>
      <c r="X70" s="323"/>
      <c r="Y70" s="324"/>
    </row>
    <row r="71" spans="1:25" ht="12.75">
      <c r="A71" s="147"/>
      <c r="B71" s="71"/>
      <c r="C71" s="179"/>
      <c r="D71" s="33"/>
      <c r="E71" s="33"/>
      <c r="F71" s="33"/>
      <c r="G71" s="109"/>
      <c r="H71" s="109"/>
      <c r="I71" s="109"/>
      <c r="J71" s="212"/>
      <c r="K71" s="147"/>
      <c r="L71" s="147"/>
      <c r="M71" s="147"/>
      <c r="N71" s="147"/>
      <c r="O71" s="14"/>
      <c r="P71" s="14"/>
      <c r="Q71" s="14"/>
      <c r="R71" s="214"/>
      <c r="S71" s="214"/>
      <c r="T71" s="147"/>
      <c r="U71" s="147"/>
      <c r="V71" s="227"/>
      <c r="W71" s="294"/>
      <c r="X71" s="294"/>
      <c r="Y71" s="295"/>
    </row>
    <row r="72" spans="1:25" ht="16.5" thickBot="1">
      <c r="A72" s="147"/>
      <c r="B72" s="211" t="s">
        <v>139</v>
      </c>
      <c r="C72" s="179"/>
      <c r="D72" s="33"/>
      <c r="E72" s="33"/>
      <c r="F72" s="33"/>
      <c r="G72" s="109"/>
      <c r="H72" s="109"/>
      <c r="I72" s="109"/>
      <c r="J72" s="212"/>
      <c r="K72" s="147"/>
      <c r="L72" s="147"/>
      <c r="M72" s="147"/>
      <c r="N72" s="147"/>
      <c r="O72" s="14"/>
      <c r="P72" s="14"/>
      <c r="Q72" s="14"/>
      <c r="R72" s="214"/>
      <c r="S72" s="214"/>
      <c r="T72" s="147"/>
      <c r="U72" s="147"/>
      <c r="V72" s="227"/>
      <c r="W72" s="294"/>
      <c r="X72" s="294"/>
      <c r="Y72" s="295"/>
    </row>
    <row r="73" spans="1:25" ht="13.5" thickBot="1">
      <c r="A73" s="206" t="s">
        <v>42</v>
      </c>
      <c r="B73" s="278" t="s">
        <v>126</v>
      </c>
      <c r="C73" s="279">
        <v>9501677</v>
      </c>
      <c r="D73" s="280">
        <v>329616</v>
      </c>
      <c r="E73" s="363"/>
      <c r="F73" s="280" t="s">
        <v>158</v>
      </c>
      <c r="G73" s="281">
        <f>IF(A73="X",C73,0)</f>
        <v>9501677</v>
      </c>
      <c r="H73" s="279">
        <f>IF(A73="X",D73,0)</f>
        <v>329616</v>
      </c>
      <c r="I73" s="281">
        <f>IF(A73="X",2126450,0)</f>
        <v>2126450</v>
      </c>
      <c r="J73" s="276">
        <v>50</v>
      </c>
      <c r="K73" s="219">
        <v>50</v>
      </c>
      <c r="L73" s="219">
        <v>27</v>
      </c>
      <c r="M73" s="219">
        <v>1</v>
      </c>
      <c r="N73" s="218">
        <v>46</v>
      </c>
      <c r="O73" s="259">
        <f>SUM(K73:N73)</f>
        <v>124</v>
      </c>
      <c r="P73" s="282" t="s">
        <v>70</v>
      </c>
      <c r="Q73" s="218"/>
      <c r="R73" s="260">
        <f>+H73/G73</f>
        <v>0.03469029730225517</v>
      </c>
      <c r="S73" s="277">
        <f>+Sheet3!W63</f>
        <v>0</v>
      </c>
      <c r="T73" s="261">
        <v>2012</v>
      </c>
      <c r="U73" s="289">
        <v>0</v>
      </c>
      <c r="V73" s="328">
        <f>G73*(1+U73)</f>
        <v>9501677</v>
      </c>
      <c r="W73" s="323"/>
      <c r="X73" s="316"/>
      <c r="Y73" s="317"/>
    </row>
    <row r="74" spans="1:25" ht="13.5" thickBot="1">
      <c r="A74" s="217"/>
      <c r="B74" s="249"/>
      <c r="C74" s="224"/>
      <c r="D74" s="225"/>
      <c r="E74" s="362" t="s">
        <v>140</v>
      </c>
      <c r="F74" s="225"/>
      <c r="G74" s="185">
        <f>SUM(G73)</f>
        <v>9501677</v>
      </c>
      <c r="H74" s="185">
        <f>SUM(H73)</f>
        <v>329616</v>
      </c>
      <c r="I74" s="185">
        <f>SUM(I73)</f>
        <v>2126450</v>
      </c>
      <c r="J74" s="230"/>
      <c r="K74" s="159"/>
      <c r="L74" s="159"/>
      <c r="M74" s="159"/>
      <c r="N74" s="159"/>
      <c r="O74" s="17"/>
      <c r="P74" s="34"/>
      <c r="Q74" s="17"/>
      <c r="R74" s="140"/>
      <c r="S74" s="231"/>
      <c r="T74" s="9"/>
      <c r="U74" s="288"/>
      <c r="V74" s="322">
        <f>SUM(V73)</f>
        <v>9501677</v>
      </c>
      <c r="W74" s="312"/>
      <c r="X74" s="323"/>
      <c r="Y74" s="324"/>
    </row>
    <row r="75" spans="1:25" s="14" customFormat="1" ht="13.5" thickBot="1">
      <c r="A75" s="147"/>
      <c r="B75" s="71"/>
      <c r="C75" s="179"/>
      <c r="D75" s="33"/>
      <c r="E75" s="33"/>
      <c r="F75" s="33"/>
      <c r="G75" s="109"/>
      <c r="H75" s="109"/>
      <c r="I75" s="216"/>
      <c r="J75" s="212"/>
      <c r="K75" s="147"/>
      <c r="L75" s="147"/>
      <c r="M75" s="147"/>
      <c r="N75" s="147"/>
      <c r="R75" s="214"/>
      <c r="S75" s="214"/>
      <c r="T75" s="147"/>
      <c r="U75" s="147"/>
      <c r="V75" s="332"/>
      <c r="W75" s="294"/>
      <c r="X75" s="294"/>
      <c r="Y75" s="296"/>
    </row>
    <row r="76" spans="1:25" ht="13.5" thickBot="1">
      <c r="A76" s="180"/>
      <c r="B76" s="191" t="s">
        <v>43</v>
      </c>
      <c r="C76" s="177">
        <f>SUM(C9:C69)</f>
        <v>17668188</v>
      </c>
      <c r="D76" s="177">
        <f>SUM(D9:D69)</f>
        <v>344568.5</v>
      </c>
      <c r="E76" s="178"/>
      <c r="F76" s="178"/>
      <c r="G76" s="181">
        <f>SUM(G70+G34+G14+G74)</f>
        <v>27169865</v>
      </c>
      <c r="H76" s="181">
        <f>SUM(H70+H34+H14+H74)</f>
        <v>674184.5</v>
      </c>
      <c r="I76" s="181">
        <f>SUM(I70+I34+I14+I74)</f>
        <v>14583304</v>
      </c>
      <c r="J76" s="218"/>
      <c r="K76" s="219"/>
      <c r="L76" s="219"/>
      <c r="M76" s="219"/>
      <c r="N76" s="219"/>
      <c r="O76" s="218"/>
      <c r="P76" s="220"/>
      <c r="Q76" s="221"/>
      <c r="R76" s="131">
        <f>+H76/G76</f>
        <v>0.02481368604518278</v>
      </c>
      <c r="S76" s="136">
        <f>+Sheet3!W61</f>
        <v>0.015514342264689712</v>
      </c>
      <c r="T76" s="221"/>
      <c r="U76" s="290"/>
      <c r="V76" s="329">
        <f>SUM(V70+V34+V14+V74)</f>
        <v>32492487.310000002</v>
      </c>
      <c r="W76" s="330"/>
      <c r="X76" s="323"/>
      <c r="Y76" s="331"/>
    </row>
    <row r="77" spans="1:25" ht="12.75">
      <c r="A77" s="147"/>
      <c r="B77" s="421"/>
      <c r="C77" s="422"/>
      <c r="D77" s="422"/>
      <c r="E77" s="422"/>
      <c r="F77" s="422"/>
      <c r="G77" s="332"/>
      <c r="H77" s="332"/>
      <c r="I77" s="332"/>
      <c r="J77" s="14"/>
      <c r="K77" s="147"/>
      <c r="L77" s="147"/>
      <c r="M77" s="147"/>
      <c r="N77" s="147"/>
      <c r="O77" s="14"/>
      <c r="P77" s="14"/>
      <c r="Q77" s="14"/>
      <c r="R77" s="423"/>
      <c r="S77" s="423"/>
      <c r="T77" s="14"/>
      <c r="U77" s="424"/>
      <c r="V77" s="425"/>
      <c r="W77" s="314"/>
      <c r="X77" s="314"/>
      <c r="Y77" s="426"/>
    </row>
    <row r="78" spans="7:25" ht="13.5" thickBot="1">
      <c r="G78" s="113"/>
      <c r="H78" s="113"/>
      <c r="I78" s="113"/>
      <c r="V78" s="113"/>
      <c r="W78" s="92"/>
      <c r="X78" s="293"/>
      <c r="Y78" s="113"/>
    </row>
    <row r="79" spans="2:25" ht="13.5" thickBot="1">
      <c r="B79" s="191" t="s">
        <v>204</v>
      </c>
      <c r="C79" s="177">
        <f>SUM(C13:C71)</f>
        <v>11681215</v>
      </c>
      <c r="D79" s="177">
        <f>SUM(D13:D71)</f>
        <v>340505.5</v>
      </c>
      <c r="E79" s="178"/>
      <c r="F79" s="178"/>
      <c r="G79" s="181">
        <f>SUM(G76-G74)</f>
        <v>17668188</v>
      </c>
      <c r="H79" s="181">
        <f>SUM(H76-H74)</f>
        <v>344568.5</v>
      </c>
      <c r="I79" s="181">
        <f>SUM(I76-I74)</f>
        <v>12456854</v>
      </c>
      <c r="J79" s="218"/>
      <c r="K79" s="219"/>
      <c r="L79" s="219"/>
      <c r="M79" s="219"/>
      <c r="N79" s="219"/>
      <c r="O79" s="218"/>
      <c r="P79" s="220"/>
      <c r="Q79" s="221"/>
      <c r="R79" s="131" t="s">
        <v>127</v>
      </c>
      <c r="S79" s="136"/>
      <c r="T79" s="221"/>
      <c r="V79" s="113"/>
      <c r="W79" s="92"/>
      <c r="X79" s="293"/>
      <c r="Y79" s="113"/>
    </row>
    <row r="80" spans="7:25" ht="12.75">
      <c r="G80" s="113"/>
      <c r="H80" s="113"/>
      <c r="I80" s="113"/>
      <c r="V80" s="113"/>
      <c r="W80" s="92"/>
      <c r="X80" s="293"/>
      <c r="Y80" s="113"/>
    </row>
    <row r="81" spans="7:25" ht="12.75">
      <c r="G81" s="113"/>
      <c r="H81" s="113"/>
      <c r="I81" s="113"/>
      <c r="V81" s="113"/>
      <c r="W81" s="92"/>
      <c r="X81" s="293"/>
      <c r="Y81" s="113"/>
    </row>
    <row r="82" spans="7:25" ht="12.75">
      <c r="G82" s="113"/>
      <c r="H82" s="113"/>
      <c r="I82" s="113"/>
      <c r="V82" s="113"/>
      <c r="W82" s="92"/>
      <c r="X82" s="293"/>
      <c r="Y82" s="113"/>
    </row>
    <row r="83" spans="7:25" ht="12.75">
      <c r="G83" s="113"/>
      <c r="H83" s="113"/>
      <c r="I83" s="113"/>
      <c r="V83" s="113"/>
      <c r="W83" s="92"/>
      <c r="X83" s="293"/>
      <c r="Y83" s="113"/>
    </row>
    <row r="84" spans="7:25" ht="12.75">
      <c r="G84" s="113"/>
      <c r="H84" s="113"/>
      <c r="I84" s="113"/>
      <c r="V84" s="113"/>
      <c r="W84" s="92"/>
      <c r="X84" s="293"/>
      <c r="Y84" s="113"/>
    </row>
    <row r="85" spans="7:25" ht="12.75">
      <c r="G85" s="113"/>
      <c r="H85" s="113"/>
      <c r="I85" s="113"/>
      <c r="V85" s="113"/>
      <c r="W85" s="92"/>
      <c r="X85" s="293"/>
      <c r="Y85" s="113"/>
    </row>
    <row r="86" spans="7:25" ht="12.75">
      <c r="G86" s="113"/>
      <c r="H86" s="113"/>
      <c r="I86" s="113"/>
      <c r="V86" s="113"/>
      <c r="W86" s="92"/>
      <c r="X86" s="293"/>
      <c r="Y86" s="113"/>
    </row>
    <row r="87" spans="7:25" ht="12.75">
      <c r="G87" s="113"/>
      <c r="H87" s="113"/>
      <c r="I87" s="113"/>
      <c r="V87" s="113"/>
      <c r="W87" s="92"/>
      <c r="X87" s="293"/>
      <c r="Y87" s="113"/>
    </row>
    <row r="88" spans="7:25" ht="12.75">
      <c r="G88" s="113"/>
      <c r="H88" s="113"/>
      <c r="I88" s="113"/>
      <c r="V88" s="113"/>
      <c r="W88" s="92"/>
      <c r="X88" s="293"/>
      <c r="Y88" s="113"/>
    </row>
    <row r="89" spans="7:25" ht="12.75">
      <c r="G89" s="113"/>
      <c r="H89" s="113"/>
      <c r="I89" s="113"/>
      <c r="V89" s="113"/>
      <c r="W89" s="92"/>
      <c r="X89" s="293"/>
      <c r="Y89" s="113"/>
    </row>
    <row r="90" spans="7:25" ht="12.75">
      <c r="G90" s="113"/>
      <c r="H90" s="113"/>
      <c r="I90" s="113"/>
      <c r="V90" s="113"/>
      <c r="W90" s="92"/>
      <c r="X90" s="293"/>
      <c r="Y90" s="113"/>
    </row>
    <row r="91" spans="7:25" ht="12.75">
      <c r="G91" s="113"/>
      <c r="H91" s="113"/>
      <c r="I91" s="113"/>
      <c r="V91" s="113"/>
      <c r="W91" s="92"/>
      <c r="X91" s="293"/>
      <c r="Y91" s="113"/>
    </row>
    <row r="92" spans="7:25" ht="12.75">
      <c r="G92" s="113"/>
      <c r="H92" s="113"/>
      <c r="I92" s="113"/>
      <c r="V92" s="113"/>
      <c r="W92" s="92"/>
      <c r="X92" s="293"/>
      <c r="Y92" s="113"/>
    </row>
    <row r="93" spans="7:25" ht="12.75">
      <c r="G93" s="113"/>
      <c r="H93" s="113"/>
      <c r="I93" s="113"/>
      <c r="V93" s="113"/>
      <c r="W93" s="92"/>
      <c r="X93" s="293"/>
      <c r="Y93" s="113"/>
    </row>
    <row r="94" spans="7:25" ht="12.75">
      <c r="G94" s="113"/>
      <c r="H94" s="113"/>
      <c r="I94" s="113"/>
      <c r="V94" s="113"/>
      <c r="W94" s="92"/>
      <c r="X94" s="293"/>
      <c r="Y94" s="113"/>
    </row>
    <row r="95" spans="7:25" ht="12.75">
      <c r="G95" s="113"/>
      <c r="H95" s="113"/>
      <c r="I95" s="113"/>
      <c r="V95" s="113"/>
      <c r="W95" s="92"/>
      <c r="X95" s="293"/>
      <c r="Y95" s="113"/>
    </row>
    <row r="96" spans="7:25" ht="12.75">
      <c r="G96" s="113"/>
      <c r="H96" s="113"/>
      <c r="I96" s="113"/>
      <c r="V96" s="113"/>
      <c r="W96" s="92"/>
      <c r="X96" s="293"/>
      <c r="Y96" s="113"/>
    </row>
    <row r="97" spans="7:25" ht="12.75">
      <c r="G97" s="113"/>
      <c r="H97" s="113"/>
      <c r="I97" s="113"/>
      <c r="V97" s="113"/>
      <c r="W97" s="92"/>
      <c r="X97" s="293"/>
      <c r="Y97" s="113"/>
    </row>
    <row r="98" spans="7:25" ht="12.75">
      <c r="G98" s="113"/>
      <c r="H98" s="113"/>
      <c r="I98" s="113"/>
      <c r="V98" s="113"/>
      <c r="W98" s="92"/>
      <c r="X98" s="293"/>
      <c r="Y98" s="113"/>
    </row>
    <row r="99" spans="7:25" ht="12.75">
      <c r="G99" s="113"/>
      <c r="H99" s="113"/>
      <c r="I99" s="113"/>
      <c r="V99" s="113"/>
      <c r="W99" s="92"/>
      <c r="X99" s="293"/>
      <c r="Y99" s="113"/>
    </row>
    <row r="100" spans="7:25" ht="12.75">
      <c r="G100" s="113"/>
      <c r="H100" s="113"/>
      <c r="I100" s="113"/>
      <c r="V100" s="113"/>
      <c r="W100" s="92"/>
      <c r="X100" s="293"/>
      <c r="Y100" s="113"/>
    </row>
    <row r="101" spans="7:25" ht="12.75">
      <c r="G101" s="113"/>
      <c r="H101" s="113"/>
      <c r="I101" s="113"/>
      <c r="V101" s="113"/>
      <c r="W101" s="92"/>
      <c r="X101" s="293"/>
      <c r="Y101" s="113"/>
    </row>
    <row r="102" spans="7:25" ht="12.75">
      <c r="G102" s="113"/>
      <c r="H102" s="113"/>
      <c r="I102" s="113"/>
      <c r="V102" s="113"/>
      <c r="W102" s="92"/>
      <c r="X102" s="293"/>
      <c r="Y102" s="113"/>
    </row>
    <row r="103" spans="7:25" ht="12.75">
      <c r="G103" s="113"/>
      <c r="H103" s="113"/>
      <c r="I103" s="113"/>
      <c r="V103" s="113"/>
      <c r="W103" s="92"/>
      <c r="X103" s="293"/>
      <c r="Y103" s="113"/>
    </row>
    <row r="104" spans="7:25" ht="12.75">
      <c r="G104" s="113"/>
      <c r="H104" s="113"/>
      <c r="I104" s="113"/>
      <c r="V104" s="113"/>
      <c r="W104" s="92"/>
      <c r="X104" s="293"/>
      <c r="Y104" s="113"/>
    </row>
    <row r="105" spans="7:25" ht="12.75">
      <c r="G105" s="113"/>
      <c r="H105" s="113"/>
      <c r="I105" s="113"/>
      <c r="V105" s="113"/>
      <c r="W105" s="92"/>
      <c r="X105" s="293"/>
      <c r="Y105" s="113"/>
    </row>
    <row r="106" spans="7:25" ht="12.75">
      <c r="G106" s="113"/>
      <c r="H106" s="113"/>
      <c r="I106" s="113"/>
      <c r="V106" s="113"/>
      <c r="W106" s="92"/>
      <c r="X106" s="293"/>
      <c r="Y106" s="113"/>
    </row>
    <row r="107" spans="7:25" ht="12.75">
      <c r="G107" s="113"/>
      <c r="H107" s="113"/>
      <c r="I107" s="113"/>
      <c r="V107" s="113"/>
      <c r="W107" s="92"/>
      <c r="X107" s="293"/>
      <c r="Y107" s="113"/>
    </row>
    <row r="108" spans="7:25" ht="12.75">
      <c r="G108" s="113"/>
      <c r="H108" s="113"/>
      <c r="I108" s="113"/>
      <c r="V108" s="113"/>
      <c r="W108" s="92"/>
      <c r="X108" s="293"/>
      <c r="Y108" s="113"/>
    </row>
    <row r="109" spans="7:25" ht="12.75">
      <c r="G109" s="113"/>
      <c r="H109" s="113"/>
      <c r="I109" s="113"/>
      <c r="V109" s="113"/>
      <c r="W109" s="92"/>
      <c r="X109" s="293"/>
      <c r="Y109" s="113"/>
    </row>
    <row r="110" spans="7:25" ht="12.75">
      <c r="G110" s="113"/>
      <c r="H110" s="113"/>
      <c r="I110" s="113"/>
      <c r="V110" s="113"/>
      <c r="W110" s="92"/>
      <c r="X110" s="293"/>
      <c r="Y110" s="113"/>
    </row>
    <row r="111" spans="7:25" ht="12.75">
      <c r="G111" s="113"/>
      <c r="H111" s="113"/>
      <c r="I111" s="113"/>
      <c r="V111" s="113"/>
      <c r="W111" s="92"/>
      <c r="X111" s="293"/>
      <c r="Y111" s="113"/>
    </row>
    <row r="112" spans="7:25" ht="12.75">
      <c r="G112" s="113"/>
      <c r="H112" s="113"/>
      <c r="I112" s="113"/>
      <c r="V112" s="113"/>
      <c r="W112" s="92"/>
      <c r="X112" s="293"/>
      <c r="Y112" s="113"/>
    </row>
    <row r="113" spans="7:25" ht="12.75">
      <c r="G113" s="113"/>
      <c r="H113" s="113"/>
      <c r="I113" s="113"/>
      <c r="V113" s="113"/>
      <c r="W113" s="92"/>
      <c r="X113" s="293"/>
      <c r="Y113" s="113"/>
    </row>
    <row r="114" spans="7:25" ht="12.75">
      <c r="G114" s="113"/>
      <c r="H114" s="113"/>
      <c r="I114" s="113"/>
      <c r="V114" s="113"/>
      <c r="W114" s="92"/>
      <c r="X114" s="293"/>
      <c r="Y114" s="113"/>
    </row>
    <row r="115" spans="7:25" ht="12.75">
      <c r="G115" s="113"/>
      <c r="H115" s="113"/>
      <c r="I115" s="113"/>
      <c r="V115" s="113"/>
      <c r="W115" s="92"/>
      <c r="X115" s="293"/>
      <c r="Y115" s="113"/>
    </row>
    <row r="116" spans="7:25" ht="12.75">
      <c r="G116" s="113"/>
      <c r="H116" s="113"/>
      <c r="I116" s="113"/>
      <c r="V116" s="113"/>
      <c r="W116" s="92"/>
      <c r="X116" s="293"/>
      <c r="Y116" s="113"/>
    </row>
    <row r="117" spans="7:25" ht="12.75">
      <c r="G117" s="113"/>
      <c r="H117" s="113"/>
      <c r="I117" s="113"/>
      <c r="V117" s="113"/>
      <c r="W117" s="92"/>
      <c r="X117" s="293"/>
      <c r="Y117" s="113"/>
    </row>
    <row r="118" spans="7:25" ht="12.75">
      <c r="G118" s="113"/>
      <c r="H118" s="113"/>
      <c r="I118" s="113"/>
      <c r="V118" s="113"/>
      <c r="W118" s="92"/>
      <c r="X118" s="293"/>
      <c r="Y118" s="113"/>
    </row>
    <row r="119" spans="7:25" ht="12.75">
      <c r="G119" s="113"/>
      <c r="H119" s="113"/>
      <c r="I119" s="113"/>
      <c r="V119" s="113"/>
      <c r="W119" s="92"/>
      <c r="X119" s="293"/>
      <c r="Y119" s="113"/>
    </row>
    <row r="120" spans="7:25" ht="12.75">
      <c r="G120" s="113"/>
      <c r="H120" s="113"/>
      <c r="I120" s="113"/>
      <c r="V120" s="113"/>
      <c r="W120" s="92"/>
      <c r="X120" s="293"/>
      <c r="Y120" s="113"/>
    </row>
    <row r="121" spans="7:25" ht="12.75">
      <c r="G121" s="113"/>
      <c r="H121" s="113"/>
      <c r="I121" s="113"/>
      <c r="V121" s="113"/>
      <c r="W121" s="92"/>
      <c r="X121" s="293"/>
      <c r="Y121" s="113"/>
    </row>
    <row r="122" spans="7:25" ht="12.75">
      <c r="G122" s="113"/>
      <c r="H122" s="113"/>
      <c r="I122" s="113"/>
      <c r="V122" s="113"/>
      <c r="W122" s="92"/>
      <c r="X122" s="293"/>
      <c r="Y122" s="113"/>
    </row>
    <row r="123" spans="7:25" ht="12.75">
      <c r="G123" s="113"/>
      <c r="H123" s="113"/>
      <c r="I123" s="113"/>
      <c r="V123" s="113"/>
      <c r="W123" s="92"/>
      <c r="X123" s="293"/>
      <c r="Y123" s="113"/>
    </row>
    <row r="124" spans="7:25" ht="12.75">
      <c r="G124" s="113"/>
      <c r="H124" s="113"/>
      <c r="I124" s="113"/>
      <c r="V124" s="113"/>
      <c r="W124" s="92"/>
      <c r="X124" s="293"/>
      <c r="Y124" s="113"/>
    </row>
    <row r="125" spans="7:25" ht="12.75">
      <c r="G125" s="113"/>
      <c r="H125" s="113"/>
      <c r="I125" s="113"/>
      <c r="V125" s="113"/>
      <c r="W125" s="92"/>
      <c r="X125" s="293"/>
      <c r="Y125" s="113"/>
    </row>
    <row r="126" spans="7:25" ht="12.75">
      <c r="G126" s="113"/>
      <c r="H126" s="113"/>
      <c r="I126" s="113"/>
      <c r="V126" s="113"/>
      <c r="W126" s="92"/>
      <c r="X126" s="293"/>
      <c r="Y126" s="113"/>
    </row>
    <row r="127" spans="7:25" ht="12.75">
      <c r="G127" s="113"/>
      <c r="H127" s="113"/>
      <c r="I127" s="113"/>
      <c r="V127" s="113"/>
      <c r="W127" s="92"/>
      <c r="X127" s="293"/>
      <c r="Y127" s="113"/>
    </row>
    <row r="128" spans="7:25" ht="12.75">
      <c r="G128" s="113"/>
      <c r="H128" s="113"/>
      <c r="I128" s="113"/>
      <c r="V128" s="113"/>
      <c r="W128" s="92"/>
      <c r="X128" s="293"/>
      <c r="Y128" s="113"/>
    </row>
    <row r="129" spans="7:25" ht="12.75">
      <c r="G129" s="113"/>
      <c r="H129" s="113"/>
      <c r="I129" s="113"/>
      <c r="V129" s="113"/>
      <c r="W129" s="92"/>
      <c r="X129" s="293"/>
      <c r="Y129" s="113"/>
    </row>
    <row r="130" spans="7:25" ht="12.75">
      <c r="G130" s="113"/>
      <c r="H130" s="113"/>
      <c r="I130" s="113"/>
      <c r="V130" s="113"/>
      <c r="W130" s="92"/>
      <c r="X130" s="293"/>
      <c r="Y130" s="113"/>
    </row>
    <row r="131" spans="7:25" ht="12.75">
      <c r="G131" s="113"/>
      <c r="H131" s="113"/>
      <c r="I131" s="113"/>
      <c r="V131" s="113"/>
      <c r="W131" s="92"/>
      <c r="X131" s="293"/>
      <c r="Y131" s="113"/>
    </row>
    <row r="132" spans="7:25" ht="12.75">
      <c r="G132" s="113"/>
      <c r="H132" s="113"/>
      <c r="I132" s="113"/>
      <c r="V132" s="113"/>
      <c r="W132" s="92"/>
      <c r="X132" s="293"/>
      <c r="Y132" s="113"/>
    </row>
    <row r="133" spans="7:25" ht="12.75">
      <c r="G133" s="113"/>
      <c r="H133" s="113"/>
      <c r="I133" s="113"/>
      <c r="V133" s="113"/>
      <c r="W133" s="92"/>
      <c r="X133" s="293"/>
      <c r="Y133" s="113"/>
    </row>
    <row r="134" spans="7:25" ht="12.75">
      <c r="G134" s="113"/>
      <c r="H134" s="113"/>
      <c r="I134" s="113"/>
      <c r="V134" s="113"/>
      <c r="W134" s="92"/>
      <c r="X134" s="293"/>
      <c r="Y134" s="113"/>
    </row>
    <row r="135" spans="7:25" ht="12.75">
      <c r="G135" s="113"/>
      <c r="H135" s="113"/>
      <c r="I135" s="113"/>
      <c r="V135" s="113"/>
      <c r="W135" s="92"/>
      <c r="X135" s="293"/>
      <c r="Y135" s="113"/>
    </row>
    <row r="136" spans="7:25" ht="12.75">
      <c r="G136" s="113"/>
      <c r="H136" s="113"/>
      <c r="I136" s="113"/>
      <c r="V136" s="113"/>
      <c r="W136" s="92"/>
      <c r="X136" s="293"/>
      <c r="Y136" s="113"/>
    </row>
    <row r="137" spans="7:25" ht="12.75">
      <c r="G137" s="113"/>
      <c r="H137" s="113"/>
      <c r="I137" s="113"/>
      <c r="V137" s="113"/>
      <c r="W137" s="92"/>
      <c r="X137" s="293"/>
      <c r="Y137" s="113"/>
    </row>
    <row r="138" spans="7:25" ht="12.75">
      <c r="G138" s="113"/>
      <c r="H138" s="113"/>
      <c r="I138" s="113"/>
      <c r="V138" s="113"/>
      <c r="W138" s="92"/>
      <c r="X138" s="293"/>
      <c r="Y138" s="113"/>
    </row>
    <row r="139" spans="7:25" ht="12.75">
      <c r="G139" s="113"/>
      <c r="H139" s="113"/>
      <c r="I139" s="113"/>
      <c r="V139" s="113"/>
      <c r="W139" s="92"/>
      <c r="X139" s="293"/>
      <c r="Y139" s="113"/>
    </row>
    <row r="140" spans="7:25" ht="12.75">
      <c r="G140" s="113"/>
      <c r="H140" s="113"/>
      <c r="I140" s="113"/>
      <c r="V140" s="113"/>
      <c r="W140" s="92"/>
      <c r="X140" s="293"/>
      <c r="Y140" s="113"/>
    </row>
    <row r="141" spans="7:25" ht="12.75">
      <c r="G141" s="113"/>
      <c r="H141" s="113"/>
      <c r="I141" s="113"/>
      <c r="V141" s="113"/>
      <c r="W141" s="92"/>
      <c r="X141" s="293"/>
      <c r="Y141" s="113"/>
    </row>
    <row r="142" spans="7:25" ht="12.75">
      <c r="G142" s="113"/>
      <c r="H142" s="113"/>
      <c r="I142" s="113"/>
      <c r="V142" s="113"/>
      <c r="W142" s="92"/>
      <c r="X142" s="293"/>
      <c r="Y142" s="113"/>
    </row>
    <row r="143" spans="7:25" ht="12.75">
      <c r="G143" s="113"/>
      <c r="H143" s="113"/>
      <c r="I143" s="113"/>
      <c r="V143" s="113"/>
      <c r="W143" s="92"/>
      <c r="X143" s="293"/>
      <c r="Y143" s="113"/>
    </row>
    <row r="144" spans="7:25" ht="12.75">
      <c r="G144" s="113"/>
      <c r="H144" s="113"/>
      <c r="I144" s="113"/>
      <c r="V144" s="113"/>
      <c r="W144" s="92"/>
      <c r="X144" s="293"/>
      <c r="Y144" s="113"/>
    </row>
    <row r="145" spans="7:25" ht="12.75">
      <c r="G145" s="113"/>
      <c r="H145" s="113"/>
      <c r="I145" s="113"/>
      <c r="V145" s="113"/>
      <c r="W145" s="92"/>
      <c r="X145" s="293"/>
      <c r="Y145" s="113"/>
    </row>
    <row r="146" spans="7:25" ht="12.75">
      <c r="G146" s="113"/>
      <c r="H146" s="113"/>
      <c r="I146" s="113"/>
      <c r="V146" s="113"/>
      <c r="W146" s="92"/>
      <c r="X146" s="293"/>
      <c r="Y146" s="113"/>
    </row>
    <row r="147" spans="7:25" ht="12.75">
      <c r="G147" s="113"/>
      <c r="H147" s="113"/>
      <c r="I147" s="113"/>
      <c r="V147" s="113"/>
      <c r="W147" s="92"/>
      <c r="X147" s="293"/>
      <c r="Y147" s="113"/>
    </row>
    <row r="148" spans="7:25" ht="12.75">
      <c r="G148" s="113"/>
      <c r="H148" s="113"/>
      <c r="I148" s="113"/>
      <c r="V148" s="113"/>
      <c r="W148" s="92"/>
      <c r="X148" s="293"/>
      <c r="Y148" s="113"/>
    </row>
    <row r="149" spans="7:25" ht="12.75">
      <c r="G149" s="113"/>
      <c r="H149" s="113"/>
      <c r="I149" s="113"/>
      <c r="V149" s="113"/>
      <c r="W149" s="92"/>
      <c r="X149" s="293"/>
      <c r="Y149" s="113"/>
    </row>
    <row r="150" spans="7:25" ht="12.75">
      <c r="G150" s="113"/>
      <c r="H150" s="113"/>
      <c r="I150" s="113"/>
      <c r="V150" s="113"/>
      <c r="W150" s="92"/>
      <c r="X150" s="293"/>
      <c r="Y150" s="113"/>
    </row>
    <row r="151" spans="7:25" ht="12.75">
      <c r="G151" s="113"/>
      <c r="H151" s="113"/>
      <c r="I151" s="113"/>
      <c r="V151" s="113"/>
      <c r="W151" s="92"/>
      <c r="X151" s="293"/>
      <c r="Y151" s="113"/>
    </row>
    <row r="152" spans="7:25" ht="12.75">
      <c r="G152" s="113"/>
      <c r="H152" s="113"/>
      <c r="I152" s="113"/>
      <c r="V152" s="113"/>
      <c r="W152" s="92"/>
      <c r="X152" s="293"/>
      <c r="Y152" s="113"/>
    </row>
    <row r="153" spans="7:25" ht="12.75">
      <c r="G153" s="113"/>
      <c r="H153" s="113"/>
      <c r="I153" s="113"/>
      <c r="V153" s="113"/>
      <c r="W153" s="92"/>
      <c r="X153" s="293"/>
      <c r="Y153" s="113"/>
    </row>
    <row r="154" spans="7:25" ht="12.75">
      <c r="G154" s="113"/>
      <c r="H154" s="113"/>
      <c r="I154" s="113"/>
      <c r="V154" s="113"/>
      <c r="W154" s="92"/>
      <c r="X154" s="293"/>
      <c r="Y154" s="113"/>
    </row>
    <row r="155" spans="7:25" ht="12.75">
      <c r="G155" s="113"/>
      <c r="H155" s="113"/>
      <c r="I155" s="113"/>
      <c r="V155" s="113"/>
      <c r="W155" s="92"/>
      <c r="X155" s="293"/>
      <c r="Y155" s="113"/>
    </row>
    <row r="156" spans="7:25" ht="12.75">
      <c r="G156" s="113"/>
      <c r="H156" s="113"/>
      <c r="I156" s="113"/>
      <c r="V156" s="113"/>
      <c r="W156" s="92"/>
      <c r="X156" s="293"/>
      <c r="Y156" s="113"/>
    </row>
    <row r="157" spans="7:25" ht="12.75">
      <c r="G157" s="113"/>
      <c r="H157" s="113"/>
      <c r="I157" s="113"/>
      <c r="V157" s="113"/>
      <c r="W157" s="92"/>
      <c r="X157" s="293"/>
      <c r="Y157" s="113"/>
    </row>
    <row r="158" spans="7:25" ht="12.75">
      <c r="G158" s="113"/>
      <c r="H158" s="113"/>
      <c r="I158" s="113"/>
      <c r="V158" s="113"/>
      <c r="W158" s="92"/>
      <c r="X158" s="293"/>
      <c r="Y158" s="113"/>
    </row>
    <row r="159" spans="7:25" ht="12.75">
      <c r="G159" s="113"/>
      <c r="H159" s="113"/>
      <c r="I159" s="113"/>
      <c r="V159" s="113"/>
      <c r="W159" s="92"/>
      <c r="X159" s="293"/>
      <c r="Y159" s="113"/>
    </row>
    <row r="160" spans="7:25" ht="12.75">
      <c r="G160" s="113"/>
      <c r="H160" s="113"/>
      <c r="I160" s="113"/>
      <c r="V160" s="113"/>
      <c r="W160" s="92"/>
      <c r="X160" s="293"/>
      <c r="Y160" s="113"/>
    </row>
    <row r="161" spans="7:25" ht="12.75">
      <c r="G161" s="113"/>
      <c r="H161" s="113"/>
      <c r="I161" s="113"/>
      <c r="V161" s="113"/>
      <c r="W161" s="92"/>
      <c r="X161" s="293"/>
      <c r="Y161" s="113"/>
    </row>
    <row r="162" spans="7:25" ht="12.75">
      <c r="G162" s="113"/>
      <c r="H162" s="113"/>
      <c r="I162" s="113"/>
      <c r="V162" s="113"/>
      <c r="W162" s="92"/>
      <c r="X162" s="293"/>
      <c r="Y162" s="113"/>
    </row>
    <row r="163" spans="7:25" ht="12.75">
      <c r="G163" s="113"/>
      <c r="H163" s="113"/>
      <c r="I163" s="113"/>
      <c r="V163" s="113"/>
      <c r="W163" s="92"/>
      <c r="X163" s="293"/>
      <c r="Y163" s="113"/>
    </row>
    <row r="164" spans="7:25" ht="12.75">
      <c r="G164" s="113"/>
      <c r="H164" s="113"/>
      <c r="I164" s="113"/>
      <c r="V164" s="113"/>
      <c r="W164" s="92"/>
      <c r="X164" s="293"/>
      <c r="Y164" s="113"/>
    </row>
    <row r="165" spans="7:25" ht="12.75">
      <c r="G165" s="113"/>
      <c r="H165" s="113"/>
      <c r="I165" s="113"/>
      <c r="V165" s="113"/>
      <c r="W165" s="92"/>
      <c r="X165" s="293"/>
      <c r="Y165" s="113"/>
    </row>
    <row r="166" spans="7:25" ht="12.75">
      <c r="G166" s="113"/>
      <c r="H166" s="113"/>
      <c r="I166" s="113"/>
      <c r="V166" s="113"/>
      <c r="W166" s="92"/>
      <c r="X166" s="293"/>
      <c r="Y166" s="113"/>
    </row>
    <row r="167" spans="7:25" ht="12.75">
      <c r="G167" s="113"/>
      <c r="H167" s="113"/>
      <c r="I167" s="113"/>
      <c r="V167" s="113"/>
      <c r="W167" s="92"/>
      <c r="X167" s="293"/>
      <c r="Y167" s="113"/>
    </row>
    <row r="168" spans="7:25" ht="12.75">
      <c r="G168" s="113"/>
      <c r="H168" s="113"/>
      <c r="I168" s="113"/>
      <c r="V168" s="113"/>
      <c r="W168" s="92"/>
      <c r="X168" s="293"/>
      <c r="Y168" s="113"/>
    </row>
    <row r="169" spans="7:25" ht="12.75">
      <c r="G169" s="113"/>
      <c r="H169" s="113"/>
      <c r="I169" s="113"/>
      <c r="V169" s="113"/>
      <c r="W169" s="92"/>
      <c r="X169" s="293"/>
      <c r="Y169" s="113"/>
    </row>
    <row r="170" spans="7:25" ht="12.75">
      <c r="G170" s="113"/>
      <c r="H170" s="113"/>
      <c r="I170" s="113"/>
      <c r="V170" s="113"/>
      <c r="W170" s="92"/>
      <c r="X170" s="293"/>
      <c r="Y170" s="113"/>
    </row>
    <row r="171" spans="7:25" ht="12.75">
      <c r="G171" s="113"/>
      <c r="H171" s="113"/>
      <c r="I171" s="113"/>
      <c r="V171" s="113"/>
      <c r="W171" s="92"/>
      <c r="X171" s="293"/>
      <c r="Y171" s="113"/>
    </row>
    <row r="172" spans="7:25" ht="12.75">
      <c r="G172" s="113"/>
      <c r="H172" s="113"/>
      <c r="I172" s="113"/>
      <c r="V172" s="113"/>
      <c r="W172" s="92"/>
      <c r="X172" s="293"/>
      <c r="Y172" s="113"/>
    </row>
    <row r="173" spans="7:25" ht="12.75">
      <c r="G173" s="113"/>
      <c r="H173" s="113"/>
      <c r="I173" s="113"/>
      <c r="V173" s="113"/>
      <c r="W173" s="92"/>
      <c r="X173" s="293"/>
      <c r="Y173" s="113"/>
    </row>
    <row r="174" spans="7:25" ht="12.75">
      <c r="G174" s="113"/>
      <c r="H174" s="113"/>
      <c r="I174" s="113"/>
      <c r="V174" s="113"/>
      <c r="W174" s="92"/>
      <c r="X174" s="293"/>
      <c r="Y174" s="113"/>
    </row>
    <row r="175" spans="7:25" ht="12.75">
      <c r="G175" s="113"/>
      <c r="H175" s="113"/>
      <c r="I175" s="113"/>
      <c r="V175" s="113"/>
      <c r="W175" s="92"/>
      <c r="X175" s="293"/>
      <c r="Y175" s="113"/>
    </row>
    <row r="176" spans="7:25" ht="12.75">
      <c r="G176" s="113"/>
      <c r="H176" s="113"/>
      <c r="I176" s="113"/>
      <c r="V176" s="113"/>
      <c r="W176" s="92"/>
      <c r="X176" s="293"/>
      <c r="Y176" s="113"/>
    </row>
    <row r="177" spans="7:25" ht="12.75">
      <c r="G177" s="113"/>
      <c r="H177" s="113"/>
      <c r="I177" s="113"/>
      <c r="V177" s="113"/>
      <c r="W177" s="92"/>
      <c r="X177" s="293"/>
      <c r="Y177" s="113"/>
    </row>
    <row r="178" spans="7:25" ht="12.75">
      <c r="G178" s="113"/>
      <c r="H178" s="113"/>
      <c r="I178" s="113"/>
      <c r="V178" s="113"/>
      <c r="W178" s="92"/>
      <c r="X178" s="293"/>
      <c r="Y178" s="113"/>
    </row>
    <row r="179" spans="7:25" ht="12.75">
      <c r="G179" s="113"/>
      <c r="H179" s="113"/>
      <c r="I179" s="113"/>
      <c r="V179" s="113"/>
      <c r="W179" s="92"/>
      <c r="X179" s="293"/>
      <c r="Y179" s="113"/>
    </row>
    <row r="180" spans="7:25" ht="12.75">
      <c r="G180" s="113"/>
      <c r="H180" s="113"/>
      <c r="I180" s="113"/>
      <c r="V180" s="113"/>
      <c r="W180" s="92"/>
      <c r="X180" s="293"/>
      <c r="Y180" s="113"/>
    </row>
    <row r="181" spans="7:25" ht="12.75">
      <c r="G181" s="113"/>
      <c r="H181" s="113"/>
      <c r="I181" s="113"/>
      <c r="V181" s="113"/>
      <c r="W181" s="92"/>
      <c r="X181" s="293"/>
      <c r="Y181" s="113"/>
    </row>
    <row r="182" spans="7:25" ht="12.75">
      <c r="G182" s="113"/>
      <c r="H182" s="113"/>
      <c r="I182" s="113"/>
      <c r="V182" s="113"/>
      <c r="W182" s="92"/>
      <c r="X182" s="293"/>
      <c r="Y182" s="113"/>
    </row>
    <row r="183" spans="7:25" ht="12.75">
      <c r="G183" s="113"/>
      <c r="H183" s="113"/>
      <c r="I183" s="113"/>
      <c r="V183" s="113"/>
      <c r="W183" s="92"/>
      <c r="X183" s="293"/>
      <c r="Y183" s="113"/>
    </row>
    <row r="184" spans="7:25" ht="12.75">
      <c r="G184" s="113"/>
      <c r="H184" s="113"/>
      <c r="I184" s="113"/>
      <c r="V184" s="113"/>
      <c r="W184" s="92"/>
      <c r="X184" s="293"/>
      <c r="Y184" s="113"/>
    </row>
    <row r="185" spans="7:25" ht="12.75">
      <c r="G185" s="113"/>
      <c r="H185" s="113"/>
      <c r="I185" s="113"/>
      <c r="V185" s="113"/>
      <c r="W185" s="92"/>
      <c r="X185" s="293"/>
      <c r="Y185" s="113"/>
    </row>
    <row r="186" spans="7:25" ht="12.75">
      <c r="G186" s="113"/>
      <c r="H186" s="113"/>
      <c r="I186" s="113"/>
      <c r="V186" s="113"/>
      <c r="W186" s="92"/>
      <c r="X186" s="293"/>
      <c r="Y186" s="113"/>
    </row>
    <row r="187" spans="7:25" ht="12.75">
      <c r="G187" s="113"/>
      <c r="H187" s="113"/>
      <c r="I187" s="113"/>
      <c r="V187" s="113"/>
      <c r="W187" s="92"/>
      <c r="X187" s="293"/>
      <c r="Y187" s="113"/>
    </row>
    <row r="188" spans="7:25" ht="12.75">
      <c r="G188" s="113"/>
      <c r="H188" s="113"/>
      <c r="I188" s="113"/>
      <c r="V188" s="113"/>
      <c r="W188" s="92"/>
      <c r="X188" s="293"/>
      <c r="Y188" s="113"/>
    </row>
    <row r="189" spans="7:25" ht="12.75">
      <c r="G189" s="113"/>
      <c r="H189" s="113"/>
      <c r="I189" s="113"/>
      <c r="V189" s="113"/>
      <c r="W189" s="92"/>
      <c r="X189" s="293"/>
      <c r="Y189" s="113"/>
    </row>
    <row r="190" spans="7:25" ht="12.75">
      <c r="G190" s="113"/>
      <c r="H190" s="113"/>
      <c r="I190" s="113"/>
      <c r="V190" s="113"/>
      <c r="W190" s="92"/>
      <c r="X190" s="293"/>
      <c r="Y190" s="113"/>
    </row>
    <row r="191" spans="7:25" ht="12.75">
      <c r="G191" s="113"/>
      <c r="H191" s="113"/>
      <c r="I191" s="113"/>
      <c r="V191" s="113"/>
      <c r="W191" s="92"/>
      <c r="X191" s="293"/>
      <c r="Y191" s="113"/>
    </row>
    <row r="192" spans="7:25" ht="12.75">
      <c r="G192" s="113"/>
      <c r="H192" s="113"/>
      <c r="I192" s="113"/>
      <c r="V192" s="113"/>
      <c r="W192" s="92"/>
      <c r="X192" s="293"/>
      <c r="Y192" s="113"/>
    </row>
    <row r="193" spans="7:25" ht="12.75">
      <c r="G193" s="113"/>
      <c r="H193" s="113"/>
      <c r="I193" s="113"/>
      <c r="V193" s="113"/>
      <c r="W193" s="92"/>
      <c r="X193" s="293"/>
      <c r="Y193" s="113"/>
    </row>
    <row r="194" spans="7:25" ht="12.75">
      <c r="G194" s="113"/>
      <c r="H194" s="113"/>
      <c r="I194" s="113"/>
      <c r="V194" s="113"/>
      <c r="W194" s="92"/>
      <c r="X194" s="293"/>
      <c r="Y194" s="113"/>
    </row>
    <row r="195" spans="7:25" ht="12.75">
      <c r="G195" s="113"/>
      <c r="H195" s="113"/>
      <c r="I195" s="113"/>
      <c r="V195" s="113"/>
      <c r="W195" s="92"/>
      <c r="X195" s="293"/>
      <c r="Y195" s="113"/>
    </row>
    <row r="196" spans="7:25" ht="12.75">
      <c r="G196" s="113"/>
      <c r="H196" s="113"/>
      <c r="I196" s="113"/>
      <c r="V196" s="113"/>
      <c r="W196" s="92"/>
      <c r="X196" s="293"/>
      <c r="Y196" s="113"/>
    </row>
    <row r="197" spans="7:25" ht="12.75">
      <c r="G197" s="113"/>
      <c r="H197" s="113"/>
      <c r="I197" s="113"/>
      <c r="V197" s="113"/>
      <c r="W197" s="92"/>
      <c r="X197" s="293"/>
      <c r="Y197" s="113"/>
    </row>
    <row r="198" spans="7:25" ht="12.75">
      <c r="G198" s="113"/>
      <c r="H198" s="113"/>
      <c r="I198" s="113"/>
      <c r="V198" s="113"/>
      <c r="W198" s="92"/>
      <c r="X198" s="293"/>
      <c r="Y198" s="113"/>
    </row>
    <row r="199" spans="7:25" ht="12.75">
      <c r="G199" s="113"/>
      <c r="H199" s="113"/>
      <c r="I199" s="113"/>
      <c r="V199" s="113"/>
      <c r="W199" s="92"/>
      <c r="X199" s="293"/>
      <c r="Y199" s="113"/>
    </row>
    <row r="200" spans="7:25" ht="12.75">
      <c r="G200" s="113"/>
      <c r="H200" s="113"/>
      <c r="I200" s="113"/>
      <c r="V200" s="113"/>
      <c r="W200" s="92"/>
      <c r="X200" s="293"/>
      <c r="Y200" s="113"/>
    </row>
    <row r="201" spans="7:25" ht="12.75">
      <c r="G201" s="113"/>
      <c r="H201" s="113"/>
      <c r="I201" s="113"/>
      <c r="V201" s="113"/>
      <c r="W201" s="92"/>
      <c r="X201" s="293"/>
      <c r="Y201" s="113"/>
    </row>
    <row r="202" spans="7:25" ht="12.75">
      <c r="G202" s="113"/>
      <c r="H202" s="113"/>
      <c r="I202" s="113"/>
      <c r="V202" s="113"/>
      <c r="W202" s="92"/>
      <c r="X202" s="293"/>
      <c r="Y202" s="113"/>
    </row>
    <row r="203" spans="7:25" ht="12.75">
      <c r="G203" s="113"/>
      <c r="H203" s="113"/>
      <c r="I203" s="113"/>
      <c r="V203" s="113"/>
      <c r="W203" s="92"/>
      <c r="X203" s="293"/>
      <c r="Y203" s="113"/>
    </row>
    <row r="204" spans="7:25" ht="12.75">
      <c r="G204" s="113"/>
      <c r="H204" s="113"/>
      <c r="I204" s="113"/>
      <c r="V204" s="113"/>
      <c r="W204" s="92"/>
      <c r="X204" s="293"/>
      <c r="Y204" s="113"/>
    </row>
    <row r="205" spans="7:25" ht="12.75">
      <c r="G205" s="113"/>
      <c r="H205" s="113"/>
      <c r="I205" s="113"/>
      <c r="V205" s="113"/>
      <c r="W205" s="92"/>
      <c r="X205" s="293"/>
      <c r="Y205" s="113"/>
    </row>
    <row r="206" spans="7:25" ht="12.75">
      <c r="G206" s="113"/>
      <c r="H206" s="113"/>
      <c r="I206" s="113"/>
      <c r="V206" s="113"/>
      <c r="W206" s="92"/>
      <c r="X206" s="293"/>
      <c r="Y206" s="113"/>
    </row>
    <row r="207" spans="7:25" ht="12.75">
      <c r="G207" s="113"/>
      <c r="H207" s="113"/>
      <c r="I207" s="113"/>
      <c r="V207" s="113"/>
      <c r="W207" s="92"/>
      <c r="X207" s="293"/>
      <c r="Y207" s="113"/>
    </row>
    <row r="208" spans="7:25" ht="12.75">
      <c r="G208" s="113"/>
      <c r="H208" s="113"/>
      <c r="I208" s="113"/>
      <c r="V208" s="113"/>
      <c r="W208" s="92"/>
      <c r="X208" s="293"/>
      <c r="Y208" s="113"/>
    </row>
    <row r="209" spans="7:25" ht="12.75">
      <c r="G209" s="113"/>
      <c r="H209" s="113"/>
      <c r="I209" s="113"/>
      <c r="V209" s="113"/>
      <c r="W209" s="92"/>
      <c r="X209" s="293"/>
      <c r="Y209" s="113"/>
    </row>
    <row r="210" spans="7:25" ht="12.75">
      <c r="G210" s="113"/>
      <c r="H210" s="113"/>
      <c r="I210" s="113"/>
      <c r="V210" s="113"/>
      <c r="W210" s="92"/>
      <c r="X210" s="293"/>
      <c r="Y210" s="113"/>
    </row>
    <row r="211" spans="7:25" ht="12.75">
      <c r="G211" s="113"/>
      <c r="H211" s="113"/>
      <c r="I211" s="113"/>
      <c r="V211" s="113"/>
      <c r="W211" s="92"/>
      <c r="X211" s="293"/>
      <c r="Y211" s="113"/>
    </row>
    <row r="212" spans="7:25" ht="12.75">
      <c r="G212" s="113"/>
      <c r="H212" s="113"/>
      <c r="I212" s="113"/>
      <c r="V212" s="113"/>
      <c r="W212" s="92"/>
      <c r="X212" s="293"/>
      <c r="Y212" s="113"/>
    </row>
    <row r="213" spans="7:25" ht="12.75">
      <c r="G213" s="113"/>
      <c r="H213" s="113"/>
      <c r="I213" s="113"/>
      <c r="V213" s="113"/>
      <c r="W213" s="92"/>
      <c r="X213" s="293"/>
      <c r="Y213" s="113"/>
    </row>
    <row r="214" spans="7:25" ht="12.75">
      <c r="G214" s="113"/>
      <c r="H214" s="113"/>
      <c r="I214" s="113"/>
      <c r="V214" s="113"/>
      <c r="W214" s="92"/>
      <c r="X214" s="293"/>
      <c r="Y214" s="113"/>
    </row>
    <row r="215" spans="7:25" ht="12.75">
      <c r="G215" s="113"/>
      <c r="H215" s="113"/>
      <c r="I215" s="113"/>
      <c r="V215" s="113"/>
      <c r="W215" s="92"/>
      <c r="X215" s="293"/>
      <c r="Y215" s="113"/>
    </row>
    <row r="216" spans="7:25" ht="12.75">
      <c r="G216" s="113"/>
      <c r="H216" s="113"/>
      <c r="I216" s="113"/>
      <c r="V216" s="113"/>
      <c r="W216" s="92"/>
      <c r="X216" s="293"/>
      <c r="Y216" s="113"/>
    </row>
    <row r="217" spans="7:25" ht="12.75">
      <c r="G217" s="113"/>
      <c r="H217" s="113"/>
      <c r="I217" s="113"/>
      <c r="V217" s="113"/>
      <c r="W217" s="92"/>
      <c r="X217" s="293"/>
      <c r="Y217" s="113"/>
    </row>
    <row r="218" spans="7:25" ht="12.75">
      <c r="G218" s="113"/>
      <c r="H218" s="113"/>
      <c r="I218" s="113"/>
      <c r="V218" s="113"/>
      <c r="W218" s="92"/>
      <c r="X218" s="293"/>
      <c r="Y218" s="113"/>
    </row>
    <row r="219" spans="7:25" ht="12.75">
      <c r="G219" s="113"/>
      <c r="H219" s="113"/>
      <c r="I219" s="113"/>
      <c r="V219" s="113"/>
      <c r="W219" s="92"/>
      <c r="X219" s="293"/>
      <c r="Y219" s="113"/>
    </row>
    <row r="220" spans="7:25" ht="12.75">
      <c r="G220" s="113"/>
      <c r="H220" s="113"/>
      <c r="I220" s="113"/>
      <c r="V220" s="113"/>
      <c r="W220" s="92"/>
      <c r="X220" s="293"/>
      <c r="Y220" s="113"/>
    </row>
    <row r="221" spans="7:25" ht="12.75">
      <c r="G221" s="113"/>
      <c r="H221" s="113"/>
      <c r="I221" s="113"/>
      <c r="V221" s="113"/>
      <c r="W221" s="92"/>
      <c r="X221" s="293"/>
      <c r="Y221" s="113"/>
    </row>
    <row r="222" spans="7:25" ht="12.75">
      <c r="G222" s="113"/>
      <c r="H222" s="113"/>
      <c r="I222" s="113"/>
      <c r="V222" s="113"/>
      <c r="W222" s="92"/>
      <c r="X222" s="293"/>
      <c r="Y222" s="113"/>
    </row>
    <row r="223" spans="7:25" ht="12.75">
      <c r="G223" s="113"/>
      <c r="H223" s="113"/>
      <c r="I223" s="113"/>
      <c r="V223" s="113"/>
      <c r="W223" s="92"/>
      <c r="X223" s="293"/>
      <c r="Y223" s="113"/>
    </row>
    <row r="224" spans="7:25" ht="12.75">
      <c r="G224" s="113"/>
      <c r="H224" s="113"/>
      <c r="I224" s="113"/>
      <c r="V224" s="113"/>
      <c r="W224" s="92"/>
      <c r="X224" s="293"/>
      <c r="Y224" s="113"/>
    </row>
    <row r="225" spans="7:25" ht="12.75">
      <c r="G225" s="113"/>
      <c r="H225" s="113"/>
      <c r="I225" s="113"/>
      <c r="V225" s="113"/>
      <c r="W225" s="92"/>
      <c r="X225" s="293"/>
      <c r="Y225" s="113"/>
    </row>
    <row r="226" spans="7:25" ht="12.75">
      <c r="G226" s="113"/>
      <c r="H226" s="113"/>
      <c r="I226" s="113"/>
      <c r="V226" s="113"/>
      <c r="W226" s="92"/>
      <c r="X226" s="293"/>
      <c r="Y226" s="113"/>
    </row>
    <row r="227" spans="7:25" ht="12.75">
      <c r="G227" s="113"/>
      <c r="H227" s="113"/>
      <c r="I227" s="113"/>
      <c r="V227" s="113"/>
      <c r="W227" s="92"/>
      <c r="X227" s="293"/>
      <c r="Y227" s="113"/>
    </row>
    <row r="228" spans="7:25" ht="12.75">
      <c r="G228" s="113"/>
      <c r="H228" s="113"/>
      <c r="I228" s="113"/>
      <c r="V228" s="113"/>
      <c r="W228" s="92"/>
      <c r="X228" s="293"/>
      <c r="Y228" s="113"/>
    </row>
    <row r="229" spans="7:25" ht="12.75">
      <c r="G229" s="113"/>
      <c r="H229" s="113"/>
      <c r="I229" s="113"/>
      <c r="V229" s="113"/>
      <c r="W229" s="92"/>
      <c r="X229" s="293"/>
      <c r="Y229" s="113"/>
    </row>
    <row r="230" spans="7:25" ht="12.75">
      <c r="G230" s="113"/>
      <c r="H230" s="113"/>
      <c r="I230" s="113"/>
      <c r="V230" s="113"/>
      <c r="W230" s="92"/>
      <c r="X230" s="293"/>
      <c r="Y230" s="113"/>
    </row>
    <row r="231" spans="7:25" ht="12.75">
      <c r="G231" s="113"/>
      <c r="H231" s="113"/>
      <c r="I231" s="113"/>
      <c r="V231" s="113"/>
      <c r="W231" s="92"/>
      <c r="X231" s="293"/>
      <c r="Y231" s="113"/>
    </row>
    <row r="232" spans="7:25" ht="12.75">
      <c r="G232" s="113"/>
      <c r="H232" s="113"/>
      <c r="I232" s="113"/>
      <c r="V232" s="113"/>
      <c r="W232" s="92"/>
      <c r="X232" s="293"/>
      <c r="Y232" s="113"/>
    </row>
    <row r="233" spans="7:25" ht="12.75">
      <c r="G233" s="113"/>
      <c r="H233" s="113"/>
      <c r="I233" s="113"/>
      <c r="V233" s="113"/>
      <c r="W233" s="92"/>
      <c r="X233" s="293"/>
      <c r="Y233" s="113"/>
    </row>
    <row r="234" spans="7:25" ht="12.75">
      <c r="G234" s="113"/>
      <c r="H234" s="113"/>
      <c r="I234" s="113"/>
      <c r="V234" s="113"/>
      <c r="W234" s="92"/>
      <c r="X234" s="293"/>
      <c r="Y234" s="113"/>
    </row>
    <row r="235" spans="7:25" ht="12.75">
      <c r="G235" s="113"/>
      <c r="H235" s="113"/>
      <c r="I235" s="113"/>
      <c r="V235" s="113"/>
      <c r="W235" s="92"/>
      <c r="X235" s="293"/>
      <c r="Y235" s="113"/>
    </row>
    <row r="236" spans="7:25" ht="12.75">
      <c r="G236" s="113"/>
      <c r="H236" s="113"/>
      <c r="I236" s="113"/>
      <c r="V236" s="113"/>
      <c r="W236" s="92"/>
      <c r="X236" s="293"/>
      <c r="Y236" s="113"/>
    </row>
    <row r="237" spans="7:25" ht="12.75">
      <c r="G237" s="113"/>
      <c r="H237" s="113"/>
      <c r="I237" s="113"/>
      <c r="V237" s="113"/>
      <c r="W237" s="92"/>
      <c r="X237" s="293"/>
      <c r="Y237" s="113"/>
    </row>
    <row r="238" spans="7:25" ht="12.75">
      <c r="G238" s="113"/>
      <c r="H238" s="113"/>
      <c r="I238" s="113"/>
      <c r="V238" s="113"/>
      <c r="W238" s="92"/>
      <c r="X238" s="293"/>
      <c r="Y238" s="113"/>
    </row>
    <row r="239" spans="7:25" ht="12.75">
      <c r="G239" s="113"/>
      <c r="H239" s="113"/>
      <c r="I239" s="113"/>
      <c r="V239" s="113"/>
      <c r="W239" s="92"/>
      <c r="X239" s="293"/>
      <c r="Y239" s="113"/>
    </row>
    <row r="240" spans="7:25" ht="12.75">
      <c r="G240" s="113"/>
      <c r="H240" s="113"/>
      <c r="I240" s="113"/>
      <c r="V240" s="113"/>
      <c r="W240" s="92"/>
      <c r="X240" s="293"/>
      <c r="Y240" s="113"/>
    </row>
    <row r="241" spans="7:25" ht="12.75">
      <c r="G241" s="113"/>
      <c r="H241" s="113"/>
      <c r="I241" s="113"/>
      <c r="V241" s="113"/>
      <c r="W241" s="92"/>
      <c r="X241" s="293"/>
      <c r="Y241" s="113"/>
    </row>
    <row r="242" spans="7:25" ht="12.75">
      <c r="G242" s="113"/>
      <c r="H242" s="113"/>
      <c r="I242" s="113"/>
      <c r="V242" s="113"/>
      <c r="W242" s="92"/>
      <c r="X242" s="293"/>
      <c r="Y242" s="113"/>
    </row>
    <row r="243" spans="7:25" ht="12.75">
      <c r="G243" s="113"/>
      <c r="H243" s="113"/>
      <c r="I243" s="113"/>
      <c r="V243" s="113"/>
      <c r="W243" s="92"/>
      <c r="X243" s="293"/>
      <c r="Y243" s="113"/>
    </row>
    <row r="244" spans="7:25" ht="12.75">
      <c r="G244" s="113"/>
      <c r="H244" s="113"/>
      <c r="I244" s="113"/>
      <c r="V244" s="113"/>
      <c r="W244" s="92"/>
      <c r="X244" s="293"/>
      <c r="Y244" s="113"/>
    </row>
    <row r="245" spans="7:25" ht="12.75">
      <c r="G245" s="113"/>
      <c r="H245" s="113"/>
      <c r="I245" s="113"/>
      <c r="V245" s="113"/>
      <c r="W245" s="92"/>
      <c r="X245" s="293"/>
      <c r="Y245" s="113"/>
    </row>
    <row r="246" spans="7:25" ht="12.75">
      <c r="G246" s="113"/>
      <c r="H246" s="113"/>
      <c r="I246" s="113"/>
      <c r="V246" s="113"/>
      <c r="W246" s="92"/>
      <c r="X246" s="293"/>
      <c r="Y246" s="113"/>
    </row>
    <row r="247" spans="7:25" ht="12.75">
      <c r="G247" s="113"/>
      <c r="H247" s="113"/>
      <c r="I247" s="113"/>
      <c r="V247" s="113"/>
      <c r="W247" s="92"/>
      <c r="X247" s="293"/>
      <c r="Y247" s="113"/>
    </row>
    <row r="248" spans="7:25" ht="12.75">
      <c r="G248" s="113"/>
      <c r="H248" s="113"/>
      <c r="I248" s="113"/>
      <c r="V248" s="113"/>
      <c r="W248" s="92"/>
      <c r="X248" s="293"/>
      <c r="Y248" s="113"/>
    </row>
    <row r="249" spans="7:25" ht="12.75">
      <c r="G249" s="113"/>
      <c r="H249" s="113"/>
      <c r="I249" s="113"/>
      <c r="V249" s="113"/>
      <c r="W249" s="92"/>
      <c r="X249" s="293"/>
      <c r="Y249" s="113"/>
    </row>
    <row r="250" spans="7:25" ht="12.75">
      <c r="G250" s="113"/>
      <c r="H250" s="113"/>
      <c r="I250" s="113"/>
      <c r="V250" s="113"/>
      <c r="W250" s="92"/>
      <c r="X250" s="293"/>
      <c r="Y250" s="113"/>
    </row>
    <row r="251" spans="7:25" ht="12.75">
      <c r="G251" s="113"/>
      <c r="H251" s="113"/>
      <c r="I251" s="113"/>
      <c r="V251" s="113"/>
      <c r="W251" s="92"/>
      <c r="X251" s="293"/>
      <c r="Y251" s="113"/>
    </row>
    <row r="252" spans="7:25" ht="12.75">
      <c r="G252" s="113"/>
      <c r="H252" s="113"/>
      <c r="I252" s="113"/>
      <c r="V252" s="113"/>
      <c r="W252" s="92"/>
      <c r="X252" s="293"/>
      <c r="Y252" s="113"/>
    </row>
    <row r="253" spans="7:25" ht="12.75">
      <c r="G253" s="113"/>
      <c r="H253" s="113"/>
      <c r="I253" s="113"/>
      <c r="V253" s="113"/>
      <c r="W253" s="92"/>
      <c r="X253" s="293"/>
      <c r="Y253" s="113"/>
    </row>
    <row r="254" spans="7:25" ht="12.75">
      <c r="G254" s="113"/>
      <c r="H254" s="113"/>
      <c r="I254" s="113"/>
      <c r="V254" s="113"/>
      <c r="W254" s="92"/>
      <c r="X254" s="293"/>
      <c r="Y254" s="113"/>
    </row>
    <row r="255" spans="7:25" ht="12.75">
      <c r="G255" s="113"/>
      <c r="H255" s="113"/>
      <c r="I255" s="113"/>
      <c r="V255" s="113"/>
      <c r="W255" s="92"/>
      <c r="X255" s="293"/>
      <c r="Y255" s="113"/>
    </row>
    <row r="256" spans="7:25" ht="12.75">
      <c r="G256" s="113"/>
      <c r="H256" s="113"/>
      <c r="I256" s="113"/>
      <c r="V256" s="113"/>
      <c r="W256" s="92"/>
      <c r="X256" s="293"/>
      <c r="Y256" s="113"/>
    </row>
    <row r="257" spans="7:25" ht="12.75">
      <c r="G257" s="113"/>
      <c r="H257" s="113"/>
      <c r="I257" s="113"/>
      <c r="V257" s="113"/>
      <c r="W257" s="92"/>
      <c r="X257" s="293"/>
      <c r="Y257" s="113"/>
    </row>
    <row r="258" spans="7:25" ht="12.75">
      <c r="G258" s="113"/>
      <c r="H258" s="113"/>
      <c r="I258" s="113"/>
      <c r="V258" s="113"/>
      <c r="W258" s="92"/>
      <c r="X258" s="293"/>
      <c r="Y258" s="113"/>
    </row>
    <row r="259" spans="7:25" ht="12.75">
      <c r="G259" s="113"/>
      <c r="H259" s="113"/>
      <c r="I259" s="113"/>
      <c r="V259" s="113"/>
      <c r="W259" s="92"/>
      <c r="X259" s="293"/>
      <c r="Y259" s="113"/>
    </row>
    <row r="260" spans="7:25" ht="12.75">
      <c r="G260" s="113"/>
      <c r="H260" s="113"/>
      <c r="I260" s="113"/>
      <c r="V260" s="113"/>
      <c r="W260" s="92"/>
      <c r="X260" s="293"/>
      <c r="Y260" s="113"/>
    </row>
    <row r="261" spans="7:25" ht="12.75">
      <c r="G261" s="113"/>
      <c r="H261" s="113"/>
      <c r="I261" s="113"/>
      <c r="V261" s="113"/>
      <c r="W261" s="92"/>
      <c r="X261" s="293"/>
      <c r="Y261" s="113"/>
    </row>
    <row r="262" spans="7:25" ht="12.75">
      <c r="G262" s="113"/>
      <c r="H262" s="113"/>
      <c r="I262" s="113"/>
      <c r="V262" s="113"/>
      <c r="W262" s="92"/>
      <c r="X262" s="293"/>
      <c r="Y262" s="113"/>
    </row>
    <row r="263" spans="7:25" ht="12.75">
      <c r="G263" s="113"/>
      <c r="H263" s="113"/>
      <c r="I263" s="113"/>
      <c r="V263" s="113"/>
      <c r="W263" s="92"/>
      <c r="X263" s="293"/>
      <c r="Y263" s="113"/>
    </row>
    <row r="264" spans="7:25" ht="12.75">
      <c r="G264" s="113"/>
      <c r="H264" s="113"/>
      <c r="I264" s="113"/>
      <c r="V264" s="113"/>
      <c r="W264" s="92"/>
      <c r="X264" s="293"/>
      <c r="Y264" s="113"/>
    </row>
    <row r="265" spans="7:25" ht="12.75">
      <c r="G265" s="113"/>
      <c r="H265" s="113"/>
      <c r="I265" s="113"/>
      <c r="V265" s="113"/>
      <c r="W265" s="92"/>
      <c r="X265" s="293"/>
      <c r="Y265" s="113"/>
    </row>
    <row r="266" spans="7:25" ht="12.75">
      <c r="G266" s="113"/>
      <c r="H266" s="113"/>
      <c r="I266" s="113"/>
      <c r="V266" s="113"/>
      <c r="W266" s="92"/>
      <c r="X266" s="293"/>
      <c r="Y266" s="113"/>
    </row>
    <row r="267" spans="7:25" ht="12.75">
      <c r="G267" s="113"/>
      <c r="H267" s="113"/>
      <c r="I267" s="113"/>
      <c r="V267" s="113"/>
      <c r="W267" s="92"/>
      <c r="X267" s="293"/>
      <c r="Y267" s="113"/>
    </row>
    <row r="268" spans="7:25" ht="12.75">
      <c r="G268" s="113"/>
      <c r="H268" s="113"/>
      <c r="I268" s="113"/>
      <c r="V268" s="113"/>
      <c r="W268" s="92"/>
      <c r="X268" s="293"/>
      <c r="Y268" s="113"/>
    </row>
    <row r="269" spans="7:25" ht="12.75">
      <c r="G269" s="113"/>
      <c r="H269" s="113"/>
      <c r="I269" s="113"/>
      <c r="V269" s="113"/>
      <c r="W269" s="92"/>
      <c r="X269" s="293"/>
      <c r="Y269" s="113"/>
    </row>
    <row r="270" spans="7:25" ht="12.75">
      <c r="G270" s="113"/>
      <c r="H270" s="113"/>
      <c r="I270" s="113"/>
      <c r="V270" s="113"/>
      <c r="W270" s="92"/>
      <c r="X270" s="293"/>
      <c r="Y270" s="113"/>
    </row>
    <row r="271" spans="7:25" ht="12.75">
      <c r="G271" s="113"/>
      <c r="H271" s="113"/>
      <c r="I271" s="113"/>
      <c r="V271" s="113"/>
      <c r="W271" s="92"/>
      <c r="X271" s="293"/>
      <c r="Y271" s="113"/>
    </row>
    <row r="272" spans="7:25" ht="12.75">
      <c r="G272" s="113"/>
      <c r="H272" s="113"/>
      <c r="I272" s="113"/>
      <c r="V272" s="113"/>
      <c r="W272" s="92"/>
      <c r="X272" s="293"/>
      <c r="Y272" s="113"/>
    </row>
    <row r="273" spans="7:25" ht="12.75">
      <c r="G273" s="113"/>
      <c r="H273" s="113"/>
      <c r="I273" s="113"/>
      <c r="V273" s="113"/>
      <c r="W273" s="92"/>
      <c r="X273" s="293"/>
      <c r="Y273" s="113"/>
    </row>
    <row r="274" spans="7:25" ht="12.75">
      <c r="G274" s="113"/>
      <c r="H274" s="113"/>
      <c r="I274" s="113"/>
      <c r="V274" s="113"/>
      <c r="W274" s="92"/>
      <c r="X274" s="293"/>
      <c r="Y274" s="113"/>
    </row>
    <row r="275" spans="7:25" ht="12.75">
      <c r="G275" s="113"/>
      <c r="H275" s="113"/>
      <c r="I275" s="113"/>
      <c r="V275" s="113"/>
      <c r="W275" s="92"/>
      <c r="X275" s="293"/>
      <c r="Y275" s="113"/>
    </row>
    <row r="276" spans="7:25" ht="12.75">
      <c r="G276" s="113"/>
      <c r="H276" s="113"/>
      <c r="I276" s="113"/>
      <c r="V276" s="113"/>
      <c r="W276" s="92"/>
      <c r="X276" s="293"/>
      <c r="Y276" s="113"/>
    </row>
    <row r="277" spans="7:25" ht="12.75">
      <c r="G277" s="113"/>
      <c r="H277" s="113"/>
      <c r="I277" s="113"/>
      <c r="V277" s="113"/>
      <c r="W277" s="92"/>
      <c r="X277" s="293"/>
      <c r="Y277" s="113"/>
    </row>
    <row r="278" spans="7:25" ht="12.75">
      <c r="G278" s="113"/>
      <c r="H278" s="113"/>
      <c r="I278" s="113"/>
      <c r="V278" s="113"/>
      <c r="W278" s="92"/>
      <c r="X278" s="293"/>
      <c r="Y278" s="113"/>
    </row>
    <row r="279" spans="7:25" ht="12.75">
      <c r="G279" s="113"/>
      <c r="H279" s="113"/>
      <c r="I279" s="113"/>
      <c r="V279" s="113"/>
      <c r="W279" s="92"/>
      <c r="X279" s="293"/>
      <c r="Y279" s="113"/>
    </row>
    <row r="280" spans="7:25" ht="12.75">
      <c r="G280" s="113"/>
      <c r="H280" s="113"/>
      <c r="I280" s="113"/>
      <c r="V280" s="113"/>
      <c r="W280" s="92"/>
      <c r="X280" s="293"/>
      <c r="Y280" s="113"/>
    </row>
    <row r="281" spans="7:25" ht="12.75">
      <c r="G281" s="113"/>
      <c r="H281" s="113"/>
      <c r="I281" s="113"/>
      <c r="V281" s="113"/>
      <c r="W281" s="92"/>
      <c r="X281" s="293"/>
      <c r="Y281" s="113"/>
    </row>
    <row r="282" spans="7:25" ht="12.75">
      <c r="G282" s="113"/>
      <c r="H282" s="113"/>
      <c r="I282" s="113"/>
      <c r="V282" s="113"/>
      <c r="W282" s="92"/>
      <c r="X282" s="293"/>
      <c r="Y282" s="113"/>
    </row>
    <row r="283" spans="7:25" ht="12.75">
      <c r="G283" s="113"/>
      <c r="H283" s="113"/>
      <c r="I283" s="113"/>
      <c r="V283" s="113"/>
      <c r="W283" s="92"/>
      <c r="X283" s="293"/>
      <c r="Y283" s="113"/>
    </row>
    <row r="284" spans="7:25" ht="12.75">
      <c r="G284" s="113"/>
      <c r="H284" s="113"/>
      <c r="I284" s="113"/>
      <c r="V284" s="113"/>
      <c r="W284" s="92"/>
      <c r="X284" s="293"/>
      <c r="Y284" s="113"/>
    </row>
    <row r="285" spans="7:25" ht="12.75">
      <c r="G285" s="113"/>
      <c r="H285" s="113"/>
      <c r="I285" s="113"/>
      <c r="V285" s="113"/>
      <c r="W285" s="92"/>
      <c r="X285" s="293"/>
      <c r="Y285" s="113"/>
    </row>
    <row r="286" spans="7:25" ht="12.75">
      <c r="G286" s="113"/>
      <c r="H286" s="113"/>
      <c r="I286" s="113"/>
      <c r="V286" s="113"/>
      <c r="W286" s="92"/>
      <c r="X286" s="293"/>
      <c r="Y286" s="113"/>
    </row>
    <row r="287" spans="7:25" ht="12.75">
      <c r="G287" s="113"/>
      <c r="H287" s="113"/>
      <c r="I287" s="113"/>
      <c r="V287" s="113"/>
      <c r="W287" s="92"/>
      <c r="X287" s="293"/>
      <c r="Y287" s="113"/>
    </row>
    <row r="288" spans="7:25" ht="12.75">
      <c r="G288" s="113"/>
      <c r="H288" s="113"/>
      <c r="I288" s="113"/>
      <c r="V288" s="113"/>
      <c r="W288" s="92"/>
      <c r="X288" s="293"/>
      <c r="Y288" s="113"/>
    </row>
    <row r="289" spans="7:25" ht="12.75">
      <c r="G289" s="113"/>
      <c r="H289" s="113"/>
      <c r="I289" s="113"/>
      <c r="V289" s="113"/>
      <c r="W289" s="92"/>
      <c r="X289" s="293"/>
      <c r="Y289" s="113"/>
    </row>
    <row r="290" spans="7:25" ht="12.75">
      <c r="G290" s="113"/>
      <c r="H290" s="113"/>
      <c r="I290" s="113"/>
      <c r="V290" s="113"/>
      <c r="W290" s="92"/>
      <c r="X290" s="293"/>
      <c r="Y290" s="113"/>
    </row>
    <row r="291" spans="7:25" ht="12.75">
      <c r="G291" s="113"/>
      <c r="H291" s="113"/>
      <c r="I291" s="113"/>
      <c r="V291" s="113"/>
      <c r="W291" s="92"/>
      <c r="X291" s="293"/>
      <c r="Y291" s="113"/>
    </row>
    <row r="292" spans="7:25" ht="12.75">
      <c r="G292" s="113"/>
      <c r="H292" s="113"/>
      <c r="I292" s="113"/>
      <c r="V292" s="113"/>
      <c r="W292" s="92"/>
      <c r="X292" s="293"/>
      <c r="Y292" s="113"/>
    </row>
    <row r="293" spans="7:25" ht="12.75">
      <c r="G293" s="113"/>
      <c r="H293" s="113"/>
      <c r="I293" s="113"/>
      <c r="V293" s="113"/>
      <c r="W293" s="92"/>
      <c r="X293" s="293"/>
      <c r="Y293" s="113"/>
    </row>
    <row r="294" spans="7:25" ht="12.75">
      <c r="G294" s="113"/>
      <c r="H294" s="113"/>
      <c r="I294" s="113"/>
      <c r="V294" s="113"/>
      <c r="W294" s="92"/>
      <c r="X294" s="293"/>
      <c r="Y294" s="113"/>
    </row>
    <row r="295" spans="7:25" ht="12.75">
      <c r="G295" s="113"/>
      <c r="H295" s="113"/>
      <c r="I295" s="113"/>
      <c r="V295" s="113"/>
      <c r="W295" s="92"/>
      <c r="X295" s="293"/>
      <c r="Y295" s="113"/>
    </row>
    <row r="296" spans="7:25" ht="12.75">
      <c r="G296" s="113"/>
      <c r="H296" s="113"/>
      <c r="I296" s="113"/>
      <c r="V296" s="113"/>
      <c r="W296" s="92"/>
      <c r="X296" s="293"/>
      <c r="Y296" s="113"/>
    </row>
    <row r="297" spans="7:25" ht="12.75">
      <c r="G297" s="113"/>
      <c r="H297" s="113"/>
      <c r="I297" s="113"/>
      <c r="V297" s="113"/>
      <c r="W297" s="92"/>
      <c r="X297" s="293"/>
      <c r="Y297" s="113"/>
    </row>
    <row r="298" spans="7:25" ht="12.75">
      <c r="G298" s="113"/>
      <c r="H298" s="113"/>
      <c r="I298" s="113"/>
      <c r="V298" s="113"/>
      <c r="W298" s="92"/>
      <c r="X298" s="293"/>
      <c r="Y298" s="113"/>
    </row>
    <row r="299" spans="7:25" ht="12.75">
      <c r="G299" s="113"/>
      <c r="H299" s="113"/>
      <c r="I299" s="113"/>
      <c r="V299" s="113"/>
      <c r="W299" s="92"/>
      <c r="X299" s="293"/>
      <c r="Y299" s="113"/>
    </row>
    <row r="300" spans="7:25" ht="12.75">
      <c r="G300" s="113"/>
      <c r="H300" s="113"/>
      <c r="I300" s="113"/>
      <c r="V300" s="113"/>
      <c r="W300" s="92"/>
      <c r="X300" s="293"/>
      <c r="Y300" s="113"/>
    </row>
    <row r="301" spans="7:25" ht="12.75">
      <c r="G301" s="113"/>
      <c r="H301" s="113"/>
      <c r="I301" s="113"/>
      <c r="V301" s="113"/>
      <c r="W301" s="92"/>
      <c r="X301" s="293"/>
      <c r="Y301" s="113"/>
    </row>
    <row r="302" spans="7:25" ht="12.75">
      <c r="G302" s="113"/>
      <c r="H302" s="113"/>
      <c r="I302" s="113"/>
      <c r="V302" s="113"/>
      <c r="W302" s="92"/>
      <c r="X302" s="293"/>
      <c r="Y302" s="113"/>
    </row>
    <row r="303" spans="7:25" ht="12.75">
      <c r="G303" s="113"/>
      <c r="H303" s="113"/>
      <c r="I303" s="113"/>
      <c r="V303" s="113"/>
      <c r="W303" s="92"/>
      <c r="X303" s="293"/>
      <c r="Y303" s="113"/>
    </row>
    <row r="304" spans="7:25" ht="12.75">
      <c r="G304" s="113"/>
      <c r="H304" s="113"/>
      <c r="I304" s="113"/>
      <c r="V304" s="113"/>
      <c r="W304" s="92"/>
      <c r="X304" s="293"/>
      <c r="Y304" s="113"/>
    </row>
    <row r="305" spans="7:25" ht="12.75">
      <c r="G305" s="113"/>
      <c r="H305" s="113"/>
      <c r="I305" s="113"/>
      <c r="V305" s="113"/>
      <c r="W305" s="92"/>
      <c r="X305" s="293"/>
      <c r="Y305" s="113"/>
    </row>
    <row r="306" spans="7:25" ht="12.75">
      <c r="G306" s="113"/>
      <c r="H306" s="113"/>
      <c r="I306" s="113"/>
      <c r="V306" s="113"/>
      <c r="W306" s="92"/>
      <c r="X306" s="293"/>
      <c r="Y306" s="113"/>
    </row>
    <row r="307" spans="7:25" ht="12.75">
      <c r="G307" s="113"/>
      <c r="H307" s="113"/>
      <c r="I307" s="113"/>
      <c r="V307" s="113"/>
      <c r="W307" s="92"/>
      <c r="X307" s="293"/>
      <c r="Y307" s="113"/>
    </row>
    <row r="308" spans="7:25" ht="12.75">
      <c r="G308" s="113"/>
      <c r="H308" s="113"/>
      <c r="I308" s="113"/>
      <c r="V308" s="113"/>
      <c r="W308" s="92"/>
      <c r="X308" s="293"/>
      <c r="Y308" s="113"/>
    </row>
    <row r="309" spans="7:25" ht="12.75">
      <c r="G309" s="113"/>
      <c r="H309" s="113"/>
      <c r="I309" s="113"/>
      <c r="V309" s="113"/>
      <c r="W309" s="92"/>
      <c r="X309" s="293"/>
      <c r="Y309" s="113"/>
    </row>
    <row r="310" spans="7:25" ht="12.75">
      <c r="G310" s="113"/>
      <c r="H310" s="113"/>
      <c r="I310" s="113"/>
      <c r="V310" s="113"/>
      <c r="W310" s="92"/>
      <c r="X310" s="293"/>
      <c r="Y310" s="113"/>
    </row>
    <row r="311" spans="7:25" ht="12.75">
      <c r="G311" s="113"/>
      <c r="H311" s="113"/>
      <c r="I311" s="113"/>
      <c r="V311" s="113"/>
      <c r="W311" s="92"/>
      <c r="X311" s="293"/>
      <c r="Y311" s="113"/>
    </row>
    <row r="312" spans="7:25" ht="12.75">
      <c r="G312" s="113"/>
      <c r="H312" s="113"/>
      <c r="I312" s="113"/>
      <c r="V312" s="113"/>
      <c r="W312" s="92"/>
      <c r="X312" s="293"/>
      <c r="Y312" s="113"/>
    </row>
    <row r="313" spans="7:25" ht="12.75">
      <c r="G313" s="113"/>
      <c r="H313" s="113"/>
      <c r="I313" s="113"/>
      <c r="V313" s="113"/>
      <c r="W313" s="92"/>
      <c r="X313" s="293"/>
      <c r="Y313" s="113"/>
    </row>
    <row r="314" spans="7:25" ht="12.75">
      <c r="G314" s="113"/>
      <c r="H314" s="113"/>
      <c r="I314" s="113"/>
      <c r="V314" s="113"/>
      <c r="W314" s="92"/>
      <c r="X314" s="293"/>
      <c r="Y314" s="113"/>
    </row>
    <row r="315" spans="7:25" ht="12.75">
      <c r="G315" s="113"/>
      <c r="H315" s="113"/>
      <c r="I315" s="113"/>
      <c r="V315" s="113"/>
      <c r="W315" s="92"/>
      <c r="X315" s="293"/>
      <c r="Y315" s="113"/>
    </row>
    <row r="316" spans="7:25" ht="12.75">
      <c r="G316" s="113"/>
      <c r="H316" s="113"/>
      <c r="I316" s="113"/>
      <c r="V316" s="113"/>
      <c r="W316" s="92"/>
      <c r="X316" s="293"/>
      <c r="Y316" s="113"/>
    </row>
    <row r="317" spans="7:25" ht="12.75">
      <c r="G317" s="113"/>
      <c r="H317" s="113"/>
      <c r="I317" s="113"/>
      <c r="V317" s="113"/>
      <c r="W317" s="92"/>
      <c r="X317" s="293"/>
      <c r="Y317" s="113"/>
    </row>
    <row r="318" spans="7:25" ht="12.75">
      <c r="G318" s="113"/>
      <c r="H318" s="113"/>
      <c r="I318" s="113"/>
      <c r="V318" s="113"/>
      <c r="W318" s="92"/>
      <c r="X318" s="293"/>
      <c r="Y318" s="113"/>
    </row>
    <row r="319" spans="7:25" ht="12.75">
      <c r="G319" s="113"/>
      <c r="H319" s="113"/>
      <c r="I319" s="113"/>
      <c r="V319" s="113"/>
      <c r="W319" s="92"/>
      <c r="X319" s="293"/>
      <c r="Y319" s="113"/>
    </row>
    <row r="320" spans="7:25" ht="12.75">
      <c r="G320" s="113"/>
      <c r="H320" s="113"/>
      <c r="I320" s="113"/>
      <c r="V320" s="113"/>
      <c r="W320" s="92"/>
      <c r="X320" s="293"/>
      <c r="Y320" s="113"/>
    </row>
    <row r="321" spans="7:25" ht="12.75">
      <c r="G321" s="113"/>
      <c r="H321" s="113"/>
      <c r="I321" s="113"/>
      <c r="V321" s="113"/>
      <c r="W321" s="92"/>
      <c r="X321" s="293"/>
      <c r="Y321" s="113"/>
    </row>
    <row r="322" spans="7:25" ht="12.75">
      <c r="G322" s="113"/>
      <c r="H322" s="113"/>
      <c r="I322" s="113"/>
      <c r="V322" s="113"/>
      <c r="W322" s="92"/>
      <c r="X322" s="293"/>
      <c r="Y322" s="113"/>
    </row>
    <row r="323" spans="7:25" ht="12.75">
      <c r="G323" s="113"/>
      <c r="H323" s="113"/>
      <c r="I323" s="113"/>
      <c r="V323" s="113"/>
      <c r="W323" s="92"/>
      <c r="X323" s="293"/>
      <c r="Y323" s="113"/>
    </row>
    <row r="324" spans="7:25" ht="12.75">
      <c r="G324" s="113"/>
      <c r="H324" s="113"/>
      <c r="I324" s="113"/>
      <c r="V324" s="113"/>
      <c r="W324" s="92"/>
      <c r="X324" s="293"/>
      <c r="Y324" s="113"/>
    </row>
    <row r="325" spans="7:25" ht="12.75">
      <c r="G325" s="113"/>
      <c r="H325" s="113"/>
      <c r="I325" s="113"/>
      <c r="V325" s="113"/>
      <c r="W325" s="92"/>
      <c r="X325" s="293"/>
      <c r="Y325" s="113"/>
    </row>
    <row r="326" spans="7:25" ht="12.75">
      <c r="G326" s="113"/>
      <c r="H326" s="113"/>
      <c r="I326" s="113"/>
      <c r="V326" s="113"/>
      <c r="W326" s="92"/>
      <c r="X326" s="293"/>
      <c r="Y326" s="113"/>
    </row>
    <row r="327" spans="7:25" ht="12.75">
      <c r="G327" s="113"/>
      <c r="H327" s="113"/>
      <c r="I327" s="113"/>
      <c r="V327" s="113"/>
      <c r="W327" s="92"/>
      <c r="X327" s="293"/>
      <c r="Y327" s="113"/>
    </row>
    <row r="328" spans="7:25" ht="12.75">
      <c r="G328" s="113"/>
      <c r="H328" s="113"/>
      <c r="I328" s="113"/>
      <c r="V328" s="113"/>
      <c r="W328" s="92"/>
      <c r="X328" s="293"/>
      <c r="Y328" s="113"/>
    </row>
    <row r="329" spans="7:25" ht="12.75">
      <c r="G329" s="113"/>
      <c r="H329" s="113"/>
      <c r="I329" s="113"/>
      <c r="V329" s="113"/>
      <c r="W329" s="92"/>
      <c r="X329" s="293"/>
      <c r="Y329" s="113"/>
    </row>
    <row r="330" spans="7:25" ht="12.75">
      <c r="G330" s="113"/>
      <c r="H330" s="113"/>
      <c r="I330" s="113"/>
      <c r="V330" s="113"/>
      <c r="W330" s="92"/>
      <c r="X330" s="293"/>
      <c r="Y330" s="113"/>
    </row>
    <row r="331" spans="7:25" ht="12.75">
      <c r="G331" s="113"/>
      <c r="H331" s="113"/>
      <c r="I331" s="113"/>
      <c r="V331" s="113"/>
      <c r="W331" s="92"/>
      <c r="X331" s="293"/>
      <c r="Y331" s="113"/>
    </row>
    <row r="332" spans="7:25" ht="12.75">
      <c r="G332" s="113"/>
      <c r="H332" s="113"/>
      <c r="I332" s="113"/>
      <c r="V332" s="113"/>
      <c r="W332" s="92"/>
      <c r="X332" s="293"/>
      <c r="Y332" s="113"/>
    </row>
    <row r="333" spans="7:25" ht="12.75">
      <c r="G333" s="113"/>
      <c r="H333" s="113"/>
      <c r="I333" s="113"/>
      <c r="V333" s="113"/>
      <c r="W333" s="92"/>
      <c r="X333" s="293"/>
      <c r="Y333" s="113"/>
    </row>
    <row r="334" spans="7:25" ht="12.75">
      <c r="G334" s="113"/>
      <c r="H334" s="113"/>
      <c r="I334" s="113"/>
      <c r="V334" s="113"/>
      <c r="W334" s="92"/>
      <c r="X334" s="293"/>
      <c r="Y334" s="113"/>
    </row>
    <row r="335" spans="7:25" ht="12.75">
      <c r="G335" s="113"/>
      <c r="H335" s="113"/>
      <c r="I335" s="113"/>
      <c r="V335" s="113"/>
      <c r="W335" s="92"/>
      <c r="X335" s="293"/>
      <c r="Y335" s="113"/>
    </row>
    <row r="336" spans="7:25" ht="12.75">
      <c r="G336" s="113"/>
      <c r="H336" s="113"/>
      <c r="I336" s="113"/>
      <c r="V336" s="113"/>
      <c r="W336" s="92"/>
      <c r="X336" s="293"/>
      <c r="Y336" s="113"/>
    </row>
    <row r="337" spans="7:25" ht="12.75">
      <c r="G337" s="113"/>
      <c r="H337" s="113"/>
      <c r="I337" s="113"/>
      <c r="V337" s="113"/>
      <c r="W337" s="92"/>
      <c r="X337" s="293"/>
      <c r="Y337" s="113"/>
    </row>
    <row r="338" spans="7:25" ht="12.75">
      <c r="G338" s="113"/>
      <c r="H338" s="113"/>
      <c r="I338" s="113"/>
      <c r="V338" s="113"/>
      <c r="W338" s="92"/>
      <c r="X338" s="293"/>
      <c r="Y338" s="113"/>
    </row>
    <row r="339" spans="7:25" ht="12.75">
      <c r="G339" s="113"/>
      <c r="H339" s="113"/>
      <c r="I339" s="113"/>
      <c r="V339" s="113"/>
      <c r="W339" s="92"/>
      <c r="X339" s="293"/>
      <c r="Y339" s="113"/>
    </row>
    <row r="340" spans="7:25" ht="12.75">
      <c r="G340" s="113"/>
      <c r="H340" s="113"/>
      <c r="I340" s="113"/>
      <c r="V340" s="113"/>
      <c r="W340" s="92"/>
      <c r="X340" s="293"/>
      <c r="Y340" s="113"/>
    </row>
    <row r="341" spans="7:25" ht="12.75">
      <c r="G341" s="113"/>
      <c r="H341" s="113"/>
      <c r="I341" s="113"/>
      <c r="V341" s="113"/>
      <c r="W341" s="92"/>
      <c r="X341" s="293"/>
      <c r="Y341" s="113"/>
    </row>
    <row r="342" spans="7:25" ht="12.75">
      <c r="G342" s="113"/>
      <c r="H342" s="113"/>
      <c r="I342" s="113"/>
      <c r="V342" s="113"/>
      <c r="W342" s="92"/>
      <c r="X342" s="293"/>
      <c r="Y342" s="113"/>
    </row>
    <row r="343" spans="7:25" ht="12.75">
      <c r="G343" s="113"/>
      <c r="H343" s="113"/>
      <c r="I343" s="113"/>
      <c r="V343" s="113"/>
      <c r="W343" s="92"/>
      <c r="X343" s="293"/>
      <c r="Y343" s="113"/>
    </row>
    <row r="344" spans="7:25" ht="12.75">
      <c r="G344" s="113"/>
      <c r="H344" s="113"/>
      <c r="I344" s="113"/>
      <c r="V344" s="113"/>
      <c r="W344" s="92"/>
      <c r="X344" s="293"/>
      <c r="Y344" s="113"/>
    </row>
    <row r="345" spans="7:25" ht="12.75">
      <c r="G345" s="113"/>
      <c r="H345" s="113"/>
      <c r="I345" s="113"/>
      <c r="V345" s="113"/>
      <c r="W345" s="92"/>
      <c r="X345" s="293"/>
      <c r="Y345" s="113"/>
    </row>
    <row r="346" spans="7:25" ht="12.75">
      <c r="G346" s="113"/>
      <c r="H346" s="113"/>
      <c r="I346" s="113"/>
      <c r="V346" s="113"/>
      <c r="W346" s="92"/>
      <c r="X346" s="293"/>
      <c r="Y346" s="113"/>
    </row>
    <row r="347" spans="7:25" ht="12.75">
      <c r="G347" s="113"/>
      <c r="H347" s="113"/>
      <c r="I347" s="113"/>
      <c r="V347" s="113"/>
      <c r="W347" s="92"/>
      <c r="X347" s="293"/>
      <c r="Y347" s="113"/>
    </row>
    <row r="348" spans="7:25" ht="12.75">
      <c r="G348" s="113"/>
      <c r="H348" s="113"/>
      <c r="I348" s="113"/>
      <c r="V348" s="113"/>
      <c r="W348" s="92"/>
      <c r="X348" s="293"/>
      <c r="Y348" s="113"/>
    </row>
    <row r="349" spans="7:25" ht="12.75">
      <c r="G349" s="113"/>
      <c r="H349" s="113"/>
      <c r="I349" s="113"/>
      <c r="V349" s="113"/>
      <c r="W349" s="92"/>
      <c r="X349" s="293"/>
      <c r="Y349" s="113"/>
    </row>
    <row r="350" spans="7:25" ht="12.75">
      <c r="G350" s="113"/>
      <c r="H350" s="113"/>
      <c r="I350" s="113"/>
      <c r="V350" s="113"/>
      <c r="W350" s="92"/>
      <c r="X350" s="293"/>
      <c r="Y350" s="113"/>
    </row>
    <row r="351" spans="7:25" ht="12.75">
      <c r="G351" s="113"/>
      <c r="H351" s="113"/>
      <c r="I351" s="113"/>
      <c r="V351" s="113"/>
      <c r="W351" s="92"/>
      <c r="X351" s="293"/>
      <c r="Y351" s="113"/>
    </row>
    <row r="352" spans="7:25" ht="12.75">
      <c r="G352" s="113"/>
      <c r="H352" s="113"/>
      <c r="I352" s="113"/>
      <c r="V352" s="113"/>
      <c r="W352" s="92"/>
      <c r="X352" s="293"/>
      <c r="Y352" s="113"/>
    </row>
    <row r="353" spans="7:25" ht="12.75">
      <c r="G353" s="113"/>
      <c r="H353" s="113"/>
      <c r="I353" s="113"/>
      <c r="V353" s="113"/>
      <c r="W353" s="92"/>
      <c r="X353" s="293"/>
      <c r="Y353" s="113"/>
    </row>
    <row r="354" spans="7:25" ht="12.75">
      <c r="G354" s="113"/>
      <c r="H354" s="113"/>
      <c r="I354" s="113"/>
      <c r="V354" s="113"/>
      <c r="W354" s="92"/>
      <c r="X354" s="293"/>
      <c r="Y354" s="113"/>
    </row>
    <row r="355" spans="7:25" ht="12.75">
      <c r="G355" s="113"/>
      <c r="H355" s="113"/>
      <c r="I355" s="113"/>
      <c r="V355" s="113"/>
      <c r="W355" s="92"/>
      <c r="X355" s="293"/>
      <c r="Y355" s="113"/>
    </row>
    <row r="356" spans="7:25" ht="12.75">
      <c r="G356" s="113"/>
      <c r="H356" s="113"/>
      <c r="I356" s="113"/>
      <c r="V356" s="113"/>
      <c r="W356" s="92"/>
      <c r="X356" s="293"/>
      <c r="Y356" s="113"/>
    </row>
    <row r="357" spans="7:25" ht="12.75">
      <c r="G357" s="113"/>
      <c r="H357" s="113"/>
      <c r="I357" s="113"/>
      <c r="V357" s="113"/>
      <c r="W357" s="92"/>
      <c r="X357" s="293"/>
      <c r="Y357" s="113"/>
    </row>
    <row r="358" spans="7:25" ht="12.75">
      <c r="G358" s="113"/>
      <c r="H358" s="113"/>
      <c r="I358" s="113"/>
      <c r="V358" s="113"/>
      <c r="W358" s="92"/>
      <c r="X358" s="293"/>
      <c r="Y358" s="113"/>
    </row>
    <row r="359" spans="7:25" ht="12.75">
      <c r="G359" s="113"/>
      <c r="H359" s="113"/>
      <c r="I359" s="113"/>
      <c r="V359" s="113"/>
      <c r="W359" s="92"/>
      <c r="X359" s="293"/>
      <c r="Y359" s="113"/>
    </row>
    <row r="360" spans="7:25" ht="12.75">
      <c r="G360" s="113"/>
      <c r="H360" s="113"/>
      <c r="I360" s="113"/>
      <c r="V360" s="113"/>
      <c r="W360" s="92"/>
      <c r="X360" s="293"/>
      <c r="Y360" s="113"/>
    </row>
    <row r="361" spans="7:25" ht="12.75">
      <c r="G361" s="113"/>
      <c r="H361" s="113"/>
      <c r="I361" s="113"/>
      <c r="V361" s="113"/>
      <c r="W361" s="92"/>
      <c r="X361" s="293"/>
      <c r="Y361" s="113"/>
    </row>
    <row r="362" spans="7:25" ht="12.75">
      <c r="G362" s="113"/>
      <c r="H362" s="113"/>
      <c r="I362" s="113"/>
      <c r="V362" s="113"/>
      <c r="W362" s="92"/>
      <c r="X362" s="293"/>
      <c r="Y362" s="113"/>
    </row>
    <row r="363" spans="7:25" ht="12.75">
      <c r="G363" s="113"/>
      <c r="H363" s="113"/>
      <c r="I363" s="113"/>
      <c r="V363" s="113"/>
      <c r="W363" s="92"/>
      <c r="X363" s="293"/>
      <c r="Y363" s="113"/>
    </row>
    <row r="364" spans="7:25" ht="12.75">
      <c r="G364" s="113"/>
      <c r="H364" s="113"/>
      <c r="I364" s="113"/>
      <c r="V364" s="113"/>
      <c r="W364" s="92"/>
      <c r="X364" s="293"/>
      <c r="Y364" s="113"/>
    </row>
    <row r="365" spans="7:25" ht="12.75">
      <c r="G365" s="113"/>
      <c r="H365" s="113"/>
      <c r="I365" s="113"/>
      <c r="V365" s="113"/>
      <c r="W365" s="92"/>
      <c r="X365" s="293"/>
      <c r="Y365" s="113"/>
    </row>
    <row r="366" spans="7:25" ht="12.75">
      <c r="G366" s="113"/>
      <c r="H366" s="113"/>
      <c r="I366" s="113"/>
      <c r="V366" s="113"/>
      <c r="W366" s="92"/>
      <c r="X366" s="293"/>
      <c r="Y366" s="113"/>
    </row>
    <row r="367" spans="7:25" ht="12.75">
      <c r="G367" s="113"/>
      <c r="H367" s="113"/>
      <c r="I367" s="113"/>
      <c r="V367" s="113"/>
      <c r="W367" s="92"/>
      <c r="X367" s="293"/>
      <c r="Y367" s="113"/>
    </row>
    <row r="368" spans="7:25" ht="12.75">
      <c r="G368" s="113"/>
      <c r="H368" s="113"/>
      <c r="I368" s="113"/>
      <c r="V368" s="113"/>
      <c r="W368" s="92"/>
      <c r="X368" s="293"/>
      <c r="Y368" s="113"/>
    </row>
    <row r="369" spans="7:25" ht="12.75">
      <c r="G369" s="113"/>
      <c r="H369" s="113"/>
      <c r="I369" s="113"/>
      <c r="V369" s="113"/>
      <c r="W369" s="92"/>
      <c r="X369" s="293"/>
      <c r="Y369" s="113"/>
    </row>
    <row r="370" spans="7:25" ht="12.75">
      <c r="G370" s="113"/>
      <c r="H370" s="113"/>
      <c r="I370" s="113"/>
      <c r="V370" s="113"/>
      <c r="W370" s="92"/>
      <c r="X370" s="293"/>
      <c r="Y370" s="113"/>
    </row>
    <row r="371" spans="7:25" ht="12.75">
      <c r="G371" s="113"/>
      <c r="H371" s="113"/>
      <c r="I371" s="113"/>
      <c r="V371" s="113"/>
      <c r="W371" s="92"/>
      <c r="X371" s="293"/>
      <c r="Y371" s="113"/>
    </row>
    <row r="372" spans="7:25" ht="12.75">
      <c r="G372" s="113"/>
      <c r="H372" s="113"/>
      <c r="I372" s="113"/>
      <c r="V372" s="113"/>
      <c r="W372" s="92"/>
      <c r="X372" s="293"/>
      <c r="Y372" s="113"/>
    </row>
    <row r="373" spans="7:25" ht="12.75">
      <c r="G373" s="113"/>
      <c r="H373" s="113"/>
      <c r="I373" s="113"/>
      <c r="V373" s="113"/>
      <c r="W373" s="92"/>
      <c r="X373" s="293"/>
      <c r="Y373" s="113"/>
    </row>
    <row r="374" spans="7:25" ht="12.75">
      <c r="G374" s="113"/>
      <c r="H374" s="113"/>
      <c r="I374" s="113"/>
      <c r="V374" s="113"/>
      <c r="W374" s="92"/>
      <c r="X374" s="293"/>
      <c r="Y374" s="113"/>
    </row>
    <row r="375" spans="7:25" ht="12.75">
      <c r="G375" s="113"/>
      <c r="H375" s="113"/>
      <c r="I375" s="113"/>
      <c r="V375" s="113"/>
      <c r="W375" s="92"/>
      <c r="X375" s="293"/>
      <c r="Y375" s="113"/>
    </row>
    <row r="376" spans="7:25" ht="12.75">
      <c r="G376" s="113"/>
      <c r="H376" s="113"/>
      <c r="I376" s="113"/>
      <c r="V376" s="113"/>
      <c r="W376" s="92"/>
      <c r="X376" s="293"/>
      <c r="Y376" s="113"/>
    </row>
    <row r="377" spans="7:25" ht="12.75">
      <c r="G377" s="113"/>
      <c r="H377" s="113"/>
      <c r="I377" s="113"/>
      <c r="V377" s="113"/>
      <c r="W377" s="92"/>
      <c r="X377" s="293"/>
      <c r="Y377" s="113"/>
    </row>
    <row r="378" spans="7:25" ht="12.75">
      <c r="G378" s="113"/>
      <c r="H378" s="113"/>
      <c r="I378" s="113"/>
      <c r="V378" s="113"/>
      <c r="W378" s="92"/>
      <c r="X378" s="293"/>
      <c r="Y378" s="113"/>
    </row>
    <row r="379" spans="7:25" ht="12.75">
      <c r="G379" s="113"/>
      <c r="H379" s="113"/>
      <c r="I379" s="113"/>
      <c r="V379" s="113"/>
      <c r="W379" s="92"/>
      <c r="X379" s="293"/>
      <c r="Y379" s="113"/>
    </row>
    <row r="380" spans="7:25" ht="12.75">
      <c r="G380" s="113"/>
      <c r="H380" s="113"/>
      <c r="I380" s="113"/>
      <c r="V380" s="113"/>
      <c r="W380" s="92"/>
      <c r="X380" s="293"/>
      <c r="Y380" s="113"/>
    </row>
    <row r="381" spans="7:25" ht="12.75">
      <c r="G381" s="113"/>
      <c r="H381" s="113"/>
      <c r="I381" s="113"/>
      <c r="V381" s="113"/>
      <c r="W381" s="92"/>
      <c r="X381" s="293"/>
      <c r="Y381" s="113"/>
    </row>
    <row r="382" spans="7:25" ht="12.75">
      <c r="G382" s="113"/>
      <c r="H382" s="113"/>
      <c r="I382" s="113"/>
      <c r="V382" s="113"/>
      <c r="W382" s="92"/>
      <c r="X382" s="293"/>
      <c r="Y382" s="113"/>
    </row>
    <row r="383" spans="7:25" ht="12.75">
      <c r="G383" s="113"/>
      <c r="H383" s="113"/>
      <c r="I383" s="113"/>
      <c r="V383" s="113"/>
      <c r="W383" s="92"/>
      <c r="X383" s="293"/>
      <c r="Y383" s="113"/>
    </row>
    <row r="384" spans="7:25" ht="12.75">
      <c r="G384" s="113"/>
      <c r="H384" s="113"/>
      <c r="I384" s="113"/>
      <c r="V384" s="113"/>
      <c r="W384" s="92"/>
      <c r="X384" s="293"/>
      <c r="Y384" s="113"/>
    </row>
    <row r="385" spans="7:25" ht="12.75">
      <c r="G385" s="113"/>
      <c r="H385" s="113"/>
      <c r="I385" s="113"/>
      <c r="V385" s="113"/>
      <c r="W385" s="92"/>
      <c r="X385" s="293"/>
      <c r="Y385" s="113"/>
    </row>
    <row r="386" spans="7:25" ht="12.75">
      <c r="G386" s="113"/>
      <c r="H386" s="113"/>
      <c r="I386" s="113"/>
      <c r="V386" s="113"/>
      <c r="W386" s="92"/>
      <c r="X386" s="293"/>
      <c r="Y386" s="113"/>
    </row>
    <row r="387" spans="7:25" ht="12.75">
      <c r="G387" s="113"/>
      <c r="H387" s="113"/>
      <c r="I387" s="113"/>
      <c r="V387" s="113"/>
      <c r="W387" s="92"/>
      <c r="X387" s="293"/>
      <c r="Y387" s="113"/>
    </row>
    <row r="388" spans="7:25" ht="12.75">
      <c r="G388" s="113"/>
      <c r="H388" s="113"/>
      <c r="I388" s="113"/>
      <c r="V388" s="113"/>
      <c r="W388" s="92"/>
      <c r="X388" s="293"/>
      <c r="Y388" s="113"/>
    </row>
    <row r="389" spans="7:25" ht="12.75">
      <c r="G389" s="113"/>
      <c r="H389" s="113"/>
      <c r="I389" s="113"/>
      <c r="V389" s="113"/>
      <c r="W389" s="92"/>
      <c r="X389" s="293"/>
      <c r="Y389" s="113"/>
    </row>
    <row r="390" spans="7:25" ht="12.75">
      <c r="G390" s="113"/>
      <c r="H390" s="113"/>
      <c r="I390" s="113"/>
      <c r="V390" s="113"/>
      <c r="W390" s="92"/>
      <c r="X390" s="293"/>
      <c r="Y390" s="113"/>
    </row>
    <row r="391" spans="7:25" ht="12.75">
      <c r="G391" s="113"/>
      <c r="H391" s="113"/>
      <c r="I391" s="113"/>
      <c r="V391" s="113"/>
      <c r="W391" s="92"/>
      <c r="X391" s="293"/>
      <c r="Y391" s="113"/>
    </row>
    <row r="392" spans="7:25" ht="12.75">
      <c r="G392" s="113"/>
      <c r="H392" s="113"/>
      <c r="I392" s="113"/>
      <c r="V392" s="113"/>
      <c r="W392" s="92"/>
      <c r="X392" s="293"/>
      <c r="Y392" s="113"/>
    </row>
    <row r="393" spans="7:25" ht="12.75">
      <c r="G393" s="113"/>
      <c r="H393" s="113"/>
      <c r="I393" s="113"/>
      <c r="V393" s="113"/>
      <c r="W393" s="92"/>
      <c r="X393" s="293"/>
      <c r="Y393" s="113"/>
    </row>
    <row r="394" spans="7:25" ht="12.75">
      <c r="G394" s="113"/>
      <c r="H394" s="113"/>
      <c r="I394" s="113"/>
      <c r="V394" s="113"/>
      <c r="W394" s="92"/>
      <c r="X394" s="293"/>
      <c r="Y394" s="113"/>
    </row>
    <row r="395" spans="7:25" ht="12.75">
      <c r="G395" s="113"/>
      <c r="H395" s="113"/>
      <c r="I395" s="113"/>
      <c r="V395" s="113"/>
      <c r="W395" s="92"/>
      <c r="X395" s="293"/>
      <c r="Y395" s="113"/>
    </row>
    <row r="396" spans="7:25" ht="12.75">
      <c r="G396" s="113"/>
      <c r="H396" s="113"/>
      <c r="I396" s="113"/>
      <c r="V396" s="113"/>
      <c r="W396" s="92"/>
      <c r="X396" s="293"/>
      <c r="Y396" s="113"/>
    </row>
    <row r="397" spans="7:25" ht="12.75">
      <c r="G397" s="113"/>
      <c r="H397" s="113"/>
      <c r="I397" s="113"/>
      <c r="V397" s="113"/>
      <c r="W397" s="92"/>
      <c r="X397" s="293"/>
      <c r="Y397" s="113"/>
    </row>
    <row r="398" spans="7:25" ht="12.75">
      <c r="G398" s="113"/>
      <c r="H398" s="113"/>
      <c r="I398" s="113"/>
      <c r="V398" s="113"/>
      <c r="W398" s="92"/>
      <c r="X398" s="293"/>
      <c r="Y398" s="113"/>
    </row>
    <row r="399" spans="7:25" ht="12.75">
      <c r="G399" s="113"/>
      <c r="H399" s="113"/>
      <c r="I399" s="113"/>
      <c r="V399" s="113"/>
      <c r="W399" s="92"/>
      <c r="X399" s="293"/>
      <c r="Y399" s="113"/>
    </row>
    <row r="400" spans="7:25" ht="12.75">
      <c r="G400" s="113"/>
      <c r="H400" s="113"/>
      <c r="I400" s="113"/>
      <c r="V400" s="113"/>
      <c r="W400" s="92"/>
      <c r="X400" s="293"/>
      <c r="Y400" s="113"/>
    </row>
    <row r="401" spans="7:25" ht="12.75">
      <c r="G401" s="113"/>
      <c r="H401" s="113"/>
      <c r="I401" s="113"/>
      <c r="V401" s="113"/>
      <c r="W401" s="92"/>
      <c r="X401" s="293"/>
      <c r="Y401" s="113"/>
    </row>
    <row r="402" spans="7:25" ht="12.75">
      <c r="G402" s="113"/>
      <c r="H402" s="113"/>
      <c r="I402" s="113"/>
      <c r="V402" s="113"/>
      <c r="W402" s="92"/>
      <c r="X402" s="293"/>
      <c r="Y402" s="113"/>
    </row>
    <row r="403" spans="7:25" ht="12.75">
      <c r="G403" s="113"/>
      <c r="H403" s="113"/>
      <c r="I403" s="113"/>
      <c r="V403" s="113"/>
      <c r="W403" s="92"/>
      <c r="X403" s="293"/>
      <c r="Y403" s="113"/>
    </row>
    <row r="404" spans="7:25" ht="12.75">
      <c r="G404" s="113"/>
      <c r="H404" s="113"/>
      <c r="I404" s="113"/>
      <c r="V404" s="113"/>
      <c r="W404" s="92"/>
      <c r="X404" s="293"/>
      <c r="Y404" s="113"/>
    </row>
    <row r="405" spans="7:25" ht="12.75">
      <c r="G405" s="113"/>
      <c r="H405" s="113"/>
      <c r="I405" s="113"/>
      <c r="V405" s="113"/>
      <c r="W405" s="92"/>
      <c r="X405" s="293"/>
      <c r="Y405" s="113"/>
    </row>
    <row r="406" spans="7:25" ht="12.75">
      <c r="G406" s="113"/>
      <c r="H406" s="113"/>
      <c r="I406" s="113"/>
      <c r="V406" s="113"/>
      <c r="W406" s="92"/>
      <c r="X406" s="293"/>
      <c r="Y406" s="113"/>
    </row>
    <row r="407" spans="7:25" ht="12.75">
      <c r="G407" s="113"/>
      <c r="H407" s="113"/>
      <c r="I407" s="113"/>
      <c r="V407" s="113"/>
      <c r="W407" s="92"/>
      <c r="X407" s="293"/>
      <c r="Y407" s="113"/>
    </row>
    <row r="408" spans="7:25" ht="12.75">
      <c r="G408" s="113"/>
      <c r="H408" s="113"/>
      <c r="I408" s="113"/>
      <c r="V408" s="113"/>
      <c r="W408" s="92"/>
      <c r="X408" s="293"/>
      <c r="Y408" s="113"/>
    </row>
    <row r="409" spans="7:25" ht="12.75">
      <c r="G409" s="113"/>
      <c r="H409" s="113"/>
      <c r="I409" s="113"/>
      <c r="V409" s="113"/>
      <c r="W409" s="92"/>
      <c r="X409" s="293"/>
      <c r="Y409" s="113"/>
    </row>
    <row r="410" spans="7:25" ht="12.75">
      <c r="G410" s="113"/>
      <c r="H410" s="113"/>
      <c r="I410" s="113"/>
      <c r="V410" s="113"/>
      <c r="W410" s="92"/>
      <c r="X410" s="293"/>
      <c r="Y410" s="113"/>
    </row>
    <row r="411" spans="7:25" ht="12.75">
      <c r="G411" s="113"/>
      <c r="H411" s="113"/>
      <c r="I411" s="113"/>
      <c r="V411" s="113"/>
      <c r="W411" s="92"/>
      <c r="X411" s="293"/>
      <c r="Y411" s="113"/>
    </row>
    <row r="412" spans="7:25" ht="12.75">
      <c r="G412" s="113"/>
      <c r="H412" s="113"/>
      <c r="I412" s="113"/>
      <c r="V412" s="113"/>
      <c r="W412" s="92"/>
      <c r="X412" s="293"/>
      <c r="Y412" s="113"/>
    </row>
    <row r="413" spans="7:25" ht="12.75">
      <c r="G413" s="113"/>
      <c r="H413" s="113"/>
      <c r="I413" s="113"/>
      <c r="V413" s="113"/>
      <c r="W413" s="92"/>
      <c r="X413" s="293"/>
      <c r="Y413" s="113"/>
    </row>
    <row r="414" spans="7:25" ht="12.75">
      <c r="G414" s="113"/>
      <c r="H414" s="113"/>
      <c r="I414" s="113"/>
      <c r="V414" s="113"/>
      <c r="W414" s="92"/>
      <c r="X414" s="293"/>
      <c r="Y414" s="113"/>
    </row>
    <row r="415" spans="7:25" ht="12.75">
      <c r="G415" s="113"/>
      <c r="H415" s="113"/>
      <c r="I415" s="113"/>
      <c r="V415" s="113"/>
      <c r="W415" s="92"/>
      <c r="X415" s="293"/>
      <c r="Y415" s="113"/>
    </row>
    <row r="416" spans="7:25" ht="12.75">
      <c r="G416" s="113"/>
      <c r="H416" s="113"/>
      <c r="I416" s="113"/>
      <c r="V416" s="113"/>
      <c r="W416" s="92"/>
      <c r="X416" s="293"/>
      <c r="Y416" s="113"/>
    </row>
    <row r="417" spans="7:25" ht="12.75">
      <c r="G417" s="113"/>
      <c r="H417" s="113"/>
      <c r="I417" s="113"/>
      <c r="V417" s="113"/>
      <c r="W417" s="92"/>
      <c r="X417" s="293"/>
      <c r="Y417" s="113"/>
    </row>
    <row r="418" spans="7:25" ht="12.75">
      <c r="G418" s="113"/>
      <c r="H418" s="113"/>
      <c r="I418" s="113"/>
      <c r="V418" s="113"/>
      <c r="W418" s="92"/>
      <c r="X418" s="293"/>
      <c r="Y418" s="113"/>
    </row>
    <row r="419" spans="7:25" ht="12.75">
      <c r="G419" s="113"/>
      <c r="H419" s="113"/>
      <c r="I419" s="113"/>
      <c r="V419" s="113"/>
      <c r="W419" s="92"/>
      <c r="X419" s="293"/>
      <c r="Y419" s="113"/>
    </row>
    <row r="420" spans="7:25" ht="12.75">
      <c r="G420" s="113"/>
      <c r="H420" s="113"/>
      <c r="I420" s="113"/>
      <c r="V420" s="113"/>
      <c r="W420" s="92"/>
      <c r="X420" s="293"/>
      <c r="Y420" s="113"/>
    </row>
    <row r="421" spans="7:25" ht="12.75">
      <c r="G421" s="113"/>
      <c r="H421" s="113"/>
      <c r="I421" s="113"/>
      <c r="V421" s="113"/>
      <c r="W421" s="92"/>
      <c r="X421" s="293"/>
      <c r="Y421" s="113"/>
    </row>
    <row r="422" spans="7:25" ht="12.75">
      <c r="G422" s="113"/>
      <c r="H422" s="113"/>
      <c r="I422" s="113"/>
      <c r="V422" s="113"/>
      <c r="W422" s="92"/>
      <c r="X422" s="293"/>
      <c r="Y422" s="113"/>
    </row>
    <row r="423" spans="7:25" ht="12.75">
      <c r="G423" s="113"/>
      <c r="H423" s="113"/>
      <c r="I423" s="113"/>
      <c r="V423" s="113"/>
      <c r="W423" s="92"/>
      <c r="X423" s="293"/>
      <c r="Y423" s="113"/>
    </row>
    <row r="424" spans="7:25" ht="12.75">
      <c r="G424" s="113"/>
      <c r="H424" s="113"/>
      <c r="I424" s="113"/>
      <c r="V424" s="113"/>
      <c r="W424" s="92"/>
      <c r="X424" s="293"/>
      <c r="Y424" s="113"/>
    </row>
    <row r="425" spans="7:25" ht="12.75">
      <c r="G425" s="113"/>
      <c r="H425" s="113"/>
      <c r="I425" s="113"/>
      <c r="V425" s="113"/>
      <c r="W425" s="92"/>
      <c r="X425" s="293"/>
      <c r="Y425" s="113"/>
    </row>
    <row r="426" spans="7:25" ht="12.75">
      <c r="G426" s="113"/>
      <c r="H426" s="113"/>
      <c r="I426" s="113"/>
      <c r="V426" s="113"/>
      <c r="W426" s="92"/>
      <c r="X426" s="293"/>
      <c r="Y426" s="113"/>
    </row>
    <row r="427" spans="7:25" ht="12.75">
      <c r="G427" s="113"/>
      <c r="H427" s="113"/>
      <c r="I427" s="113"/>
      <c r="V427" s="113"/>
      <c r="W427" s="92"/>
      <c r="X427" s="293"/>
      <c r="Y427" s="113"/>
    </row>
    <row r="428" spans="7:25" ht="12.75">
      <c r="G428" s="113"/>
      <c r="H428" s="113"/>
      <c r="I428" s="113"/>
      <c r="V428" s="113"/>
      <c r="W428" s="92"/>
      <c r="X428" s="293"/>
      <c r="Y428" s="113"/>
    </row>
    <row r="429" spans="7:25" ht="12.75">
      <c r="G429" s="113"/>
      <c r="H429" s="113"/>
      <c r="I429" s="113"/>
      <c r="V429" s="113"/>
      <c r="W429" s="92"/>
      <c r="X429" s="293"/>
      <c r="Y429" s="113"/>
    </row>
    <row r="430" spans="7:25" ht="12.75">
      <c r="G430" s="113"/>
      <c r="H430" s="113"/>
      <c r="I430" s="113"/>
      <c r="V430" s="113"/>
      <c r="W430" s="92"/>
      <c r="X430" s="293"/>
      <c r="Y430" s="113"/>
    </row>
    <row r="431" spans="7:25" ht="12.75">
      <c r="G431" s="113"/>
      <c r="H431" s="113"/>
      <c r="I431" s="113"/>
      <c r="V431" s="113"/>
      <c r="W431" s="92"/>
      <c r="X431" s="293"/>
      <c r="Y431" s="113"/>
    </row>
    <row r="432" spans="7:25" ht="12.75">
      <c r="G432" s="113"/>
      <c r="H432" s="113"/>
      <c r="I432" s="113"/>
      <c r="V432" s="113"/>
      <c r="W432" s="92"/>
      <c r="X432" s="293"/>
      <c r="Y432" s="113"/>
    </row>
    <row r="433" spans="7:25" ht="12.75">
      <c r="G433" s="113"/>
      <c r="H433" s="113"/>
      <c r="I433" s="113"/>
      <c r="V433" s="113"/>
      <c r="W433" s="92"/>
      <c r="X433" s="293"/>
      <c r="Y433" s="113"/>
    </row>
    <row r="434" spans="7:25" ht="12.75">
      <c r="G434" s="113"/>
      <c r="H434" s="113"/>
      <c r="I434" s="113"/>
      <c r="V434" s="113"/>
      <c r="W434" s="92"/>
      <c r="X434" s="293"/>
      <c r="Y434" s="113"/>
    </row>
    <row r="435" spans="7:25" ht="12.75">
      <c r="G435" s="113"/>
      <c r="H435" s="113"/>
      <c r="I435" s="113"/>
      <c r="V435" s="113"/>
      <c r="W435" s="92"/>
      <c r="X435" s="293"/>
      <c r="Y435" s="113"/>
    </row>
    <row r="436" spans="7:25" ht="12.75">
      <c r="G436" s="113"/>
      <c r="H436" s="113"/>
      <c r="I436" s="113"/>
      <c r="V436" s="113"/>
      <c r="W436" s="92"/>
      <c r="X436" s="293"/>
      <c r="Y436" s="113"/>
    </row>
    <row r="437" spans="7:25" ht="12.75">
      <c r="G437" s="113"/>
      <c r="H437" s="113"/>
      <c r="I437" s="113"/>
      <c r="V437" s="113"/>
      <c r="W437" s="92"/>
      <c r="X437" s="293"/>
      <c r="Y437" s="113"/>
    </row>
    <row r="438" spans="7:25" ht="12.75">
      <c r="G438" s="113"/>
      <c r="H438" s="113"/>
      <c r="I438" s="113"/>
      <c r="V438" s="113"/>
      <c r="W438" s="92"/>
      <c r="X438" s="293"/>
      <c r="Y438" s="113"/>
    </row>
    <row r="439" spans="7:25" ht="12.75">
      <c r="G439" s="113"/>
      <c r="H439" s="113"/>
      <c r="I439" s="113"/>
      <c r="V439" s="113"/>
      <c r="W439" s="92"/>
      <c r="X439" s="293"/>
      <c r="Y439" s="113"/>
    </row>
    <row r="440" spans="7:25" ht="12.75">
      <c r="G440" s="113"/>
      <c r="H440" s="113"/>
      <c r="I440" s="113"/>
      <c r="V440" s="113"/>
      <c r="W440" s="92"/>
      <c r="X440" s="293"/>
      <c r="Y440" s="113"/>
    </row>
    <row r="441" spans="7:25" ht="12.75">
      <c r="G441" s="113"/>
      <c r="H441" s="113"/>
      <c r="I441" s="113"/>
      <c r="V441" s="113"/>
      <c r="W441" s="92"/>
      <c r="X441" s="293"/>
      <c r="Y441" s="113"/>
    </row>
    <row r="442" spans="7:25" ht="12.75">
      <c r="G442" s="113"/>
      <c r="H442" s="113"/>
      <c r="I442" s="113"/>
      <c r="V442" s="113"/>
      <c r="W442" s="92"/>
      <c r="X442" s="293"/>
      <c r="Y442" s="113"/>
    </row>
    <row r="443" spans="7:25" ht="12.75">
      <c r="G443" s="113"/>
      <c r="H443" s="113"/>
      <c r="I443" s="113"/>
      <c r="V443" s="113"/>
      <c r="W443" s="92"/>
      <c r="X443" s="293"/>
      <c r="Y443" s="113"/>
    </row>
    <row r="444" spans="7:25" ht="12.75">
      <c r="G444" s="113"/>
      <c r="H444" s="113"/>
      <c r="I444" s="113"/>
      <c r="V444" s="113"/>
      <c r="W444" s="92"/>
      <c r="X444" s="293"/>
      <c r="Y444" s="113"/>
    </row>
    <row r="445" spans="7:25" ht="12.75">
      <c r="G445" s="113"/>
      <c r="H445" s="113"/>
      <c r="I445" s="113"/>
      <c r="V445" s="113"/>
      <c r="W445" s="92"/>
      <c r="X445" s="293"/>
      <c r="Y445" s="113"/>
    </row>
    <row r="446" spans="7:25" ht="12.75">
      <c r="G446" s="113"/>
      <c r="H446" s="113"/>
      <c r="I446" s="113"/>
      <c r="V446" s="113"/>
      <c r="W446" s="92"/>
      <c r="X446" s="293"/>
      <c r="Y446" s="113"/>
    </row>
    <row r="447" spans="7:25" ht="12.75">
      <c r="G447" s="113"/>
      <c r="H447" s="113"/>
      <c r="I447" s="113"/>
      <c r="V447" s="113"/>
      <c r="W447" s="92"/>
      <c r="X447" s="293"/>
      <c r="Y447" s="113"/>
    </row>
    <row r="448" spans="7:25" ht="12.75">
      <c r="G448" s="113"/>
      <c r="H448" s="113"/>
      <c r="I448" s="113"/>
      <c r="V448" s="113"/>
      <c r="W448" s="92"/>
      <c r="X448" s="293"/>
      <c r="Y448" s="113"/>
    </row>
    <row r="449" spans="7:25" ht="12.75">
      <c r="G449" s="113"/>
      <c r="H449" s="113"/>
      <c r="I449" s="113"/>
      <c r="V449" s="113"/>
      <c r="W449" s="92"/>
      <c r="X449" s="293"/>
      <c r="Y449" s="113"/>
    </row>
    <row r="450" spans="7:25" ht="12.75">
      <c r="G450" s="113"/>
      <c r="H450" s="113"/>
      <c r="I450" s="113"/>
      <c r="V450" s="113"/>
      <c r="W450" s="92"/>
      <c r="X450" s="293"/>
      <c r="Y450" s="113"/>
    </row>
    <row r="451" spans="7:25" ht="12.75">
      <c r="G451" s="113"/>
      <c r="H451" s="113"/>
      <c r="I451" s="113"/>
      <c r="V451" s="113"/>
      <c r="W451" s="92"/>
      <c r="X451" s="293"/>
      <c r="Y451" s="113"/>
    </row>
    <row r="452" spans="7:25" ht="12.75">
      <c r="G452" s="113"/>
      <c r="H452" s="113"/>
      <c r="I452" s="113"/>
      <c r="V452" s="113"/>
      <c r="W452" s="92"/>
      <c r="X452" s="293"/>
      <c r="Y452" s="113"/>
    </row>
    <row r="453" spans="7:25" ht="12.75">
      <c r="G453" s="113"/>
      <c r="H453" s="113"/>
      <c r="I453" s="113"/>
      <c r="V453" s="113"/>
      <c r="W453" s="92"/>
      <c r="X453" s="293"/>
      <c r="Y453" s="113"/>
    </row>
    <row r="454" spans="7:25" ht="12.75">
      <c r="G454" s="113"/>
      <c r="H454" s="113"/>
      <c r="I454" s="113"/>
      <c r="V454" s="113"/>
      <c r="W454" s="92"/>
      <c r="X454" s="293"/>
      <c r="Y454" s="113"/>
    </row>
    <row r="455" spans="7:25" ht="12.75">
      <c r="G455" s="113"/>
      <c r="H455" s="113"/>
      <c r="I455" s="113"/>
      <c r="V455" s="113"/>
      <c r="W455" s="92"/>
      <c r="X455" s="293"/>
      <c r="Y455" s="113"/>
    </row>
    <row r="456" spans="7:25" ht="12.75">
      <c r="G456" s="113"/>
      <c r="H456" s="113"/>
      <c r="I456" s="113"/>
      <c r="V456" s="113"/>
      <c r="W456" s="92"/>
      <c r="X456" s="293"/>
      <c r="Y456" s="113"/>
    </row>
    <row r="457" spans="7:25" ht="12.75">
      <c r="G457" s="113"/>
      <c r="H457" s="113"/>
      <c r="I457" s="113"/>
      <c r="V457" s="113"/>
      <c r="W457" s="92"/>
      <c r="X457" s="293"/>
      <c r="Y457" s="113"/>
    </row>
    <row r="458" spans="7:25" ht="12.75">
      <c r="G458" s="113"/>
      <c r="H458" s="113"/>
      <c r="I458" s="113"/>
      <c r="V458" s="113"/>
      <c r="W458" s="92"/>
      <c r="X458" s="293"/>
      <c r="Y458" s="113"/>
    </row>
    <row r="459" spans="7:25" ht="12.75">
      <c r="G459" s="113"/>
      <c r="H459" s="113"/>
      <c r="I459" s="113"/>
      <c r="V459" s="113"/>
      <c r="W459" s="92"/>
      <c r="X459" s="293"/>
      <c r="Y459" s="113"/>
    </row>
    <row r="460" spans="7:25" ht="12.75">
      <c r="G460" s="113"/>
      <c r="H460" s="113"/>
      <c r="I460" s="113"/>
      <c r="V460" s="113"/>
      <c r="W460" s="92"/>
      <c r="X460" s="293"/>
      <c r="Y460" s="113"/>
    </row>
    <row r="461" spans="7:25" ht="12.75">
      <c r="G461" s="113"/>
      <c r="H461" s="113"/>
      <c r="I461" s="113"/>
      <c r="V461" s="113"/>
      <c r="W461" s="92"/>
      <c r="X461" s="293"/>
      <c r="Y461" s="113"/>
    </row>
    <row r="462" spans="7:25" ht="12.75">
      <c r="G462" s="113"/>
      <c r="H462" s="113"/>
      <c r="I462" s="113"/>
      <c r="V462" s="113"/>
      <c r="W462" s="92"/>
      <c r="X462" s="293"/>
      <c r="Y462" s="113"/>
    </row>
    <row r="463" spans="7:25" ht="12.75">
      <c r="G463" s="113"/>
      <c r="H463" s="113"/>
      <c r="I463" s="113"/>
      <c r="V463" s="113"/>
      <c r="W463" s="92"/>
      <c r="X463" s="293"/>
      <c r="Y463" s="113"/>
    </row>
    <row r="464" spans="7:25" ht="12.75">
      <c r="G464" s="113"/>
      <c r="H464" s="113"/>
      <c r="I464" s="113"/>
      <c r="V464" s="113"/>
      <c r="W464" s="92"/>
      <c r="X464" s="293"/>
      <c r="Y464" s="113"/>
    </row>
    <row r="465" spans="7:25" ht="12.75">
      <c r="G465" s="113"/>
      <c r="H465" s="113"/>
      <c r="I465" s="113"/>
      <c r="V465" s="113"/>
      <c r="W465" s="92"/>
      <c r="X465" s="293"/>
      <c r="Y465" s="113"/>
    </row>
    <row r="466" spans="7:25" ht="12.75">
      <c r="G466" s="113"/>
      <c r="H466" s="113"/>
      <c r="I466" s="113"/>
      <c r="V466" s="113"/>
      <c r="W466" s="92"/>
      <c r="X466" s="293"/>
      <c r="Y466" s="113"/>
    </row>
    <row r="467" spans="7:25" ht="12.75">
      <c r="G467" s="113"/>
      <c r="H467" s="113"/>
      <c r="I467" s="113"/>
      <c r="V467" s="113"/>
      <c r="W467" s="92"/>
      <c r="X467" s="293"/>
      <c r="Y467" s="113"/>
    </row>
    <row r="468" spans="7:25" ht="12.75">
      <c r="G468" s="113"/>
      <c r="H468" s="113"/>
      <c r="I468" s="113"/>
      <c r="V468" s="113"/>
      <c r="W468" s="92"/>
      <c r="X468" s="293"/>
      <c r="Y468" s="113"/>
    </row>
    <row r="469" spans="7:25" ht="12.75">
      <c r="G469" s="113"/>
      <c r="H469" s="113"/>
      <c r="I469" s="113"/>
      <c r="V469" s="113"/>
      <c r="W469" s="92"/>
      <c r="X469" s="293"/>
      <c r="Y469" s="113"/>
    </row>
    <row r="470" spans="7:25" ht="12.75">
      <c r="G470" s="113"/>
      <c r="H470" s="113"/>
      <c r="I470" s="113"/>
      <c r="V470" s="113"/>
      <c r="W470" s="92"/>
      <c r="X470" s="293"/>
      <c r="Y470" s="113"/>
    </row>
    <row r="471" spans="7:25" ht="12.75">
      <c r="G471" s="113"/>
      <c r="H471" s="113"/>
      <c r="I471" s="113"/>
      <c r="V471" s="113"/>
      <c r="W471" s="92"/>
      <c r="X471" s="293"/>
      <c r="Y471" s="113"/>
    </row>
    <row r="472" spans="7:25" ht="12.75">
      <c r="G472" s="113"/>
      <c r="H472" s="113"/>
      <c r="I472" s="113"/>
      <c r="V472" s="113"/>
      <c r="W472" s="92"/>
      <c r="X472" s="293"/>
      <c r="Y472" s="113"/>
    </row>
    <row r="473" spans="7:25" ht="12.75">
      <c r="G473" s="113"/>
      <c r="H473" s="113"/>
      <c r="I473" s="113"/>
      <c r="V473" s="113"/>
      <c r="W473" s="92"/>
      <c r="X473" s="293"/>
      <c r="Y473" s="113"/>
    </row>
    <row r="474" spans="7:25" ht="12.75">
      <c r="G474" s="113"/>
      <c r="H474" s="113"/>
      <c r="I474" s="113"/>
      <c r="V474" s="113"/>
      <c r="W474" s="92"/>
      <c r="X474" s="293"/>
      <c r="Y474" s="113"/>
    </row>
    <row r="475" spans="7:25" ht="12.75">
      <c r="G475" s="113"/>
      <c r="H475" s="113"/>
      <c r="I475" s="113"/>
      <c r="V475" s="113"/>
      <c r="W475" s="92"/>
      <c r="X475" s="293"/>
      <c r="Y475" s="113"/>
    </row>
    <row r="476" spans="7:25" ht="12.75">
      <c r="G476" s="113"/>
      <c r="H476" s="113"/>
      <c r="I476" s="113"/>
      <c r="V476" s="113"/>
      <c r="W476" s="92"/>
      <c r="X476" s="293"/>
      <c r="Y476" s="113"/>
    </row>
    <row r="477" spans="7:25" ht="12.75">
      <c r="G477" s="113"/>
      <c r="H477" s="113"/>
      <c r="I477" s="113"/>
      <c r="V477" s="113"/>
      <c r="W477" s="92"/>
      <c r="X477" s="293"/>
      <c r="Y477" s="113"/>
    </row>
    <row r="478" spans="7:25" ht="12.75">
      <c r="G478" s="113"/>
      <c r="H478" s="113"/>
      <c r="I478" s="113"/>
      <c r="V478" s="113"/>
      <c r="W478" s="92"/>
      <c r="X478" s="293"/>
      <c r="Y478" s="113"/>
    </row>
    <row r="479" spans="7:25" ht="12.75">
      <c r="G479" s="113"/>
      <c r="H479" s="113"/>
      <c r="I479" s="113"/>
      <c r="V479" s="113"/>
      <c r="W479" s="92"/>
      <c r="X479" s="293"/>
      <c r="Y479" s="113"/>
    </row>
    <row r="480" spans="7:25" ht="12.75">
      <c r="G480" s="113"/>
      <c r="H480" s="113"/>
      <c r="I480" s="113"/>
      <c r="V480" s="113"/>
      <c r="W480" s="92"/>
      <c r="X480" s="293"/>
      <c r="Y480" s="113"/>
    </row>
    <row r="481" spans="7:25" ht="12.75">
      <c r="G481" s="113"/>
      <c r="H481" s="113"/>
      <c r="I481" s="113"/>
      <c r="V481" s="113"/>
      <c r="W481" s="92"/>
      <c r="X481" s="293"/>
      <c r="Y481" s="113"/>
    </row>
    <row r="482" spans="7:25" ht="12.75">
      <c r="G482" s="113"/>
      <c r="H482" s="113"/>
      <c r="I482" s="113"/>
      <c r="V482" s="113"/>
      <c r="W482" s="92"/>
      <c r="X482" s="293"/>
      <c r="Y482" s="113"/>
    </row>
    <row r="483" spans="7:25" ht="12.75">
      <c r="G483" s="113"/>
      <c r="H483" s="113"/>
      <c r="I483" s="113"/>
      <c r="V483" s="113"/>
      <c r="W483" s="92"/>
      <c r="X483" s="293"/>
      <c r="Y483" s="113"/>
    </row>
    <row r="484" spans="7:25" ht="12.75">
      <c r="G484" s="113"/>
      <c r="H484" s="113"/>
      <c r="I484" s="113"/>
      <c r="V484" s="113"/>
      <c r="W484" s="92"/>
      <c r="X484" s="293"/>
      <c r="Y484" s="113"/>
    </row>
    <row r="485" spans="7:25" ht="12.75">
      <c r="G485" s="113"/>
      <c r="H485" s="113"/>
      <c r="I485" s="113"/>
      <c r="V485" s="113"/>
      <c r="W485" s="92"/>
      <c r="X485" s="293"/>
      <c r="Y485" s="113"/>
    </row>
    <row r="486" spans="7:25" ht="12.75">
      <c r="G486" s="113"/>
      <c r="H486" s="113"/>
      <c r="I486" s="113"/>
      <c r="V486" s="113"/>
      <c r="W486" s="92"/>
      <c r="X486" s="293"/>
      <c r="Y486" s="113"/>
    </row>
    <row r="487" spans="7:25" ht="12.75">
      <c r="G487" s="113"/>
      <c r="H487" s="113"/>
      <c r="I487" s="113"/>
      <c r="V487" s="113"/>
      <c r="W487" s="92"/>
      <c r="X487" s="293"/>
      <c r="Y487" s="113"/>
    </row>
    <row r="488" spans="7:25" ht="12.75">
      <c r="G488" s="113"/>
      <c r="H488" s="113"/>
      <c r="I488" s="113"/>
      <c r="V488" s="113"/>
      <c r="W488" s="92"/>
      <c r="X488" s="293"/>
      <c r="Y488" s="113"/>
    </row>
    <row r="489" spans="7:25" ht="12.75">
      <c r="G489" s="113"/>
      <c r="H489" s="113"/>
      <c r="I489" s="113"/>
      <c r="V489" s="113"/>
      <c r="W489" s="92"/>
      <c r="X489" s="293"/>
      <c r="Y489" s="113"/>
    </row>
    <row r="490" spans="7:25" ht="12.75">
      <c r="G490" s="113"/>
      <c r="H490" s="113"/>
      <c r="I490" s="113"/>
      <c r="V490" s="113"/>
      <c r="W490" s="92"/>
      <c r="X490" s="293"/>
      <c r="Y490" s="113"/>
    </row>
    <row r="491" spans="7:25" ht="12.75">
      <c r="G491" s="113"/>
      <c r="H491" s="113"/>
      <c r="I491" s="113"/>
      <c r="V491" s="113"/>
      <c r="W491" s="92"/>
      <c r="X491" s="293"/>
      <c r="Y491" s="113"/>
    </row>
    <row r="492" spans="7:25" ht="12.75">
      <c r="G492" s="113"/>
      <c r="H492" s="113"/>
      <c r="I492" s="113"/>
      <c r="V492" s="113"/>
      <c r="W492" s="92"/>
      <c r="X492" s="293"/>
      <c r="Y492" s="113"/>
    </row>
    <row r="493" spans="7:25" ht="12.75">
      <c r="G493" s="113"/>
      <c r="H493" s="113"/>
      <c r="I493" s="113"/>
      <c r="V493" s="113"/>
      <c r="W493" s="92"/>
      <c r="X493" s="293"/>
      <c r="Y493" s="113"/>
    </row>
    <row r="494" spans="7:25" ht="12.75">
      <c r="G494" s="113"/>
      <c r="H494" s="113"/>
      <c r="I494" s="113"/>
      <c r="V494" s="113"/>
      <c r="W494" s="92"/>
      <c r="X494" s="293"/>
      <c r="Y494" s="113"/>
    </row>
    <row r="495" spans="7:25" ht="12.75">
      <c r="G495" s="113"/>
      <c r="H495" s="113"/>
      <c r="I495" s="113"/>
      <c r="V495" s="113"/>
      <c r="W495" s="92"/>
      <c r="X495" s="293"/>
      <c r="Y495" s="113"/>
    </row>
    <row r="496" spans="7:25" ht="12.75">
      <c r="G496" s="113"/>
      <c r="H496" s="113"/>
      <c r="I496" s="113"/>
      <c r="V496" s="113"/>
      <c r="W496" s="92"/>
      <c r="X496" s="293"/>
      <c r="Y496" s="113"/>
    </row>
    <row r="497" spans="7:25" ht="12.75">
      <c r="G497" s="113"/>
      <c r="H497" s="113"/>
      <c r="I497" s="113"/>
      <c r="V497" s="113"/>
      <c r="W497" s="92"/>
      <c r="X497" s="293"/>
      <c r="Y497" s="113"/>
    </row>
    <row r="498" spans="7:25" ht="12.75">
      <c r="G498" s="113"/>
      <c r="H498" s="113"/>
      <c r="I498" s="113"/>
      <c r="V498" s="113"/>
      <c r="W498" s="92"/>
      <c r="X498" s="293"/>
      <c r="Y498" s="113"/>
    </row>
    <row r="499" spans="7:25" ht="12.75">
      <c r="G499" s="113"/>
      <c r="H499" s="113"/>
      <c r="I499" s="113"/>
      <c r="V499" s="113"/>
      <c r="W499" s="92"/>
      <c r="X499" s="293"/>
      <c r="Y499" s="113"/>
    </row>
    <row r="500" spans="7:25" ht="12.75">
      <c r="G500" s="113"/>
      <c r="H500" s="113"/>
      <c r="I500" s="113"/>
      <c r="V500" s="113"/>
      <c r="W500" s="92"/>
      <c r="X500" s="293"/>
      <c r="Y500" s="113"/>
    </row>
    <row r="501" spans="7:25" ht="12.75">
      <c r="G501" s="113"/>
      <c r="H501" s="113"/>
      <c r="I501" s="113"/>
      <c r="V501" s="113"/>
      <c r="W501" s="92"/>
      <c r="X501" s="293"/>
      <c r="Y501" s="113"/>
    </row>
    <row r="502" spans="7:25" ht="12.75">
      <c r="G502" s="113"/>
      <c r="H502" s="113"/>
      <c r="I502" s="113"/>
      <c r="V502" s="113"/>
      <c r="W502" s="92"/>
      <c r="X502" s="293"/>
      <c r="Y502" s="113"/>
    </row>
    <row r="503" spans="7:25" ht="12.75">
      <c r="G503" s="113"/>
      <c r="H503" s="113"/>
      <c r="I503" s="113"/>
      <c r="V503" s="113"/>
      <c r="W503" s="92"/>
      <c r="X503" s="293"/>
      <c r="Y503" s="113"/>
    </row>
    <row r="504" spans="7:25" ht="12.75">
      <c r="G504" s="113"/>
      <c r="H504" s="113"/>
      <c r="I504" s="113"/>
      <c r="V504" s="113"/>
      <c r="W504" s="92"/>
      <c r="X504" s="293"/>
      <c r="Y504" s="113"/>
    </row>
    <row r="505" spans="7:25" ht="12.75">
      <c r="G505" s="113"/>
      <c r="H505" s="113"/>
      <c r="I505" s="113"/>
      <c r="V505" s="113"/>
      <c r="W505" s="92"/>
      <c r="X505" s="293"/>
      <c r="Y505" s="113"/>
    </row>
    <row r="506" spans="7:25" ht="12.75">
      <c r="G506" s="113"/>
      <c r="H506" s="113"/>
      <c r="I506" s="113"/>
      <c r="V506" s="113"/>
      <c r="W506" s="92"/>
      <c r="X506" s="293"/>
      <c r="Y506" s="113"/>
    </row>
    <row r="507" spans="7:25" ht="12.75">
      <c r="G507" s="113"/>
      <c r="H507" s="113"/>
      <c r="I507" s="113"/>
      <c r="V507" s="113"/>
      <c r="W507" s="92"/>
      <c r="X507" s="293"/>
      <c r="Y507" s="113"/>
    </row>
    <row r="508" spans="7:25" ht="12.75">
      <c r="G508" s="113"/>
      <c r="H508" s="113"/>
      <c r="I508" s="113"/>
      <c r="V508" s="113"/>
      <c r="W508" s="92"/>
      <c r="X508" s="293"/>
      <c r="Y508" s="113"/>
    </row>
    <row r="509" spans="7:25" ht="12.75">
      <c r="G509" s="113"/>
      <c r="H509" s="113"/>
      <c r="I509" s="113"/>
      <c r="V509" s="113"/>
      <c r="W509" s="92"/>
      <c r="X509" s="293"/>
      <c r="Y509" s="113"/>
    </row>
    <row r="510" spans="7:25" ht="12.75">
      <c r="G510" s="113"/>
      <c r="H510" s="113"/>
      <c r="I510" s="113"/>
      <c r="V510" s="113"/>
      <c r="W510" s="92"/>
      <c r="X510" s="293"/>
      <c r="Y510" s="113"/>
    </row>
    <row r="511" spans="7:25" ht="12.75">
      <c r="G511" s="113"/>
      <c r="H511" s="113"/>
      <c r="I511" s="113"/>
      <c r="V511" s="113"/>
      <c r="W511" s="92"/>
      <c r="X511" s="293"/>
      <c r="Y511" s="113"/>
    </row>
    <row r="512" spans="7:25" ht="12.75">
      <c r="G512" s="113"/>
      <c r="H512" s="113"/>
      <c r="I512" s="113"/>
      <c r="V512" s="113"/>
      <c r="W512" s="92"/>
      <c r="X512" s="293"/>
      <c r="Y512" s="113"/>
    </row>
    <row r="513" spans="7:25" ht="12.75">
      <c r="G513" s="113"/>
      <c r="H513" s="113"/>
      <c r="I513" s="113"/>
      <c r="V513" s="113"/>
      <c r="W513" s="92"/>
      <c r="X513" s="293"/>
      <c r="Y513" s="113"/>
    </row>
    <row r="514" spans="7:25" ht="12.75">
      <c r="G514" s="113"/>
      <c r="H514" s="113"/>
      <c r="I514" s="113"/>
      <c r="V514" s="113"/>
      <c r="W514" s="92"/>
      <c r="X514" s="293"/>
      <c r="Y514" s="113"/>
    </row>
    <row r="515" spans="7:25" ht="12.75">
      <c r="G515" s="113"/>
      <c r="H515" s="113"/>
      <c r="I515" s="113"/>
      <c r="V515" s="113"/>
      <c r="W515" s="92"/>
      <c r="X515" s="293"/>
      <c r="Y515" s="113"/>
    </row>
    <row r="516" spans="7:25" ht="12.75">
      <c r="G516" s="113"/>
      <c r="H516" s="113"/>
      <c r="I516" s="113"/>
      <c r="V516" s="113"/>
      <c r="W516" s="92"/>
      <c r="X516" s="293"/>
      <c r="Y516" s="113"/>
    </row>
    <row r="517" spans="7:25" ht="12.75">
      <c r="G517" s="113"/>
      <c r="H517" s="113"/>
      <c r="I517" s="113"/>
      <c r="V517" s="113"/>
      <c r="W517" s="92"/>
      <c r="X517" s="293"/>
      <c r="Y517" s="113"/>
    </row>
    <row r="518" spans="7:25" ht="12.75">
      <c r="G518" s="113"/>
      <c r="H518" s="113"/>
      <c r="I518" s="113"/>
      <c r="V518" s="113"/>
      <c r="W518" s="92"/>
      <c r="X518" s="293"/>
      <c r="Y518" s="113"/>
    </row>
    <row r="519" spans="7:25" ht="12.75">
      <c r="G519" s="113"/>
      <c r="H519" s="113"/>
      <c r="I519" s="113"/>
      <c r="V519" s="113"/>
      <c r="W519" s="92"/>
      <c r="X519" s="293"/>
      <c r="Y519" s="113"/>
    </row>
    <row r="520" spans="7:25" ht="12.75">
      <c r="G520" s="113"/>
      <c r="H520" s="113"/>
      <c r="I520" s="113"/>
      <c r="V520" s="113"/>
      <c r="W520" s="92"/>
      <c r="X520" s="293"/>
      <c r="Y520" s="113"/>
    </row>
    <row r="521" spans="7:25" ht="12.75">
      <c r="G521" s="113"/>
      <c r="H521" s="113"/>
      <c r="I521" s="113"/>
      <c r="V521" s="113"/>
      <c r="W521" s="92"/>
      <c r="X521" s="293"/>
      <c r="Y521" s="113"/>
    </row>
    <row r="522" spans="7:25" ht="12.75">
      <c r="G522" s="113"/>
      <c r="H522" s="113"/>
      <c r="I522" s="113"/>
      <c r="V522" s="113"/>
      <c r="W522" s="92"/>
      <c r="X522" s="293"/>
      <c r="Y522" s="113"/>
    </row>
    <row r="523" spans="7:25" ht="12.75">
      <c r="G523" s="113"/>
      <c r="H523" s="113"/>
      <c r="I523" s="113"/>
      <c r="V523" s="113"/>
      <c r="W523" s="92"/>
      <c r="X523" s="293"/>
      <c r="Y523" s="113"/>
    </row>
    <row r="524" spans="7:25" ht="12.75">
      <c r="G524" s="113"/>
      <c r="H524" s="113"/>
      <c r="I524" s="113"/>
      <c r="V524" s="113"/>
      <c r="W524" s="92"/>
      <c r="X524" s="293"/>
      <c r="Y524" s="113"/>
    </row>
    <row r="525" spans="7:25" ht="12.75">
      <c r="G525" s="113"/>
      <c r="H525" s="113"/>
      <c r="I525" s="113"/>
      <c r="V525" s="113"/>
      <c r="W525" s="92"/>
      <c r="X525" s="293"/>
      <c r="Y525" s="113"/>
    </row>
    <row r="526" spans="7:25" ht="12.75">
      <c r="G526" s="113"/>
      <c r="H526" s="113"/>
      <c r="I526" s="113"/>
      <c r="V526" s="113"/>
      <c r="W526" s="92"/>
      <c r="X526" s="293"/>
      <c r="Y526" s="113"/>
    </row>
    <row r="527" spans="7:25" ht="12.75">
      <c r="G527" s="113"/>
      <c r="H527" s="113"/>
      <c r="I527" s="113"/>
      <c r="V527" s="113"/>
      <c r="W527" s="92"/>
      <c r="X527" s="293"/>
      <c r="Y527" s="113"/>
    </row>
    <row r="528" spans="7:25" ht="12.75">
      <c r="G528" s="113"/>
      <c r="H528" s="113"/>
      <c r="I528" s="113"/>
      <c r="V528" s="113"/>
      <c r="W528" s="92"/>
      <c r="X528" s="293"/>
      <c r="Y528" s="113"/>
    </row>
    <row r="529" spans="7:25" ht="12.75">
      <c r="G529" s="113"/>
      <c r="H529" s="113"/>
      <c r="I529" s="113"/>
      <c r="V529" s="113"/>
      <c r="W529" s="92"/>
      <c r="X529" s="293"/>
      <c r="Y529" s="113"/>
    </row>
    <row r="530" spans="7:25" ht="12.75">
      <c r="G530" s="113"/>
      <c r="H530" s="113"/>
      <c r="I530" s="113"/>
      <c r="V530" s="113"/>
      <c r="W530" s="92"/>
      <c r="X530" s="293"/>
      <c r="Y530" s="113"/>
    </row>
    <row r="531" spans="7:25" ht="12.75">
      <c r="G531" s="113"/>
      <c r="H531" s="113"/>
      <c r="I531" s="113"/>
      <c r="V531" s="113"/>
      <c r="W531" s="92"/>
      <c r="X531" s="293"/>
      <c r="Y531" s="113"/>
    </row>
    <row r="532" spans="7:25" ht="12.75">
      <c r="G532" s="113"/>
      <c r="H532" s="113"/>
      <c r="I532" s="113"/>
      <c r="V532" s="113"/>
      <c r="W532" s="92"/>
      <c r="X532" s="293"/>
      <c r="Y532" s="113"/>
    </row>
    <row r="533" spans="7:25" ht="12.75">
      <c r="G533" s="113"/>
      <c r="H533" s="113"/>
      <c r="I533" s="113"/>
      <c r="V533" s="113"/>
      <c r="W533" s="92"/>
      <c r="X533" s="293"/>
      <c r="Y533" s="113"/>
    </row>
    <row r="534" spans="7:25" ht="12.75">
      <c r="G534" s="113"/>
      <c r="H534" s="113"/>
      <c r="I534" s="113"/>
      <c r="V534" s="113"/>
      <c r="W534" s="92"/>
      <c r="X534" s="293"/>
      <c r="Y534" s="113"/>
    </row>
    <row r="535" spans="7:25" ht="12.75">
      <c r="G535" s="113"/>
      <c r="H535" s="113"/>
      <c r="I535" s="113"/>
      <c r="V535" s="113"/>
      <c r="W535" s="92"/>
      <c r="X535" s="293"/>
      <c r="Y535" s="113"/>
    </row>
    <row r="536" spans="7:25" ht="12.75">
      <c r="G536" s="113"/>
      <c r="H536" s="113"/>
      <c r="I536" s="113"/>
      <c r="V536" s="113"/>
      <c r="W536" s="92"/>
      <c r="X536" s="293"/>
      <c r="Y536" s="113"/>
    </row>
    <row r="537" spans="7:25" ht="12.75">
      <c r="G537" s="113"/>
      <c r="H537" s="113"/>
      <c r="I537" s="113"/>
      <c r="V537" s="113"/>
      <c r="W537" s="92"/>
      <c r="X537" s="293"/>
      <c r="Y537" s="113"/>
    </row>
    <row r="538" spans="7:25" ht="12.75">
      <c r="G538" s="113"/>
      <c r="H538" s="113"/>
      <c r="I538" s="113"/>
      <c r="V538" s="113"/>
      <c r="W538" s="92"/>
      <c r="X538" s="293"/>
      <c r="Y538" s="113"/>
    </row>
    <row r="539" spans="7:25" ht="12.75">
      <c r="G539" s="113"/>
      <c r="H539" s="113"/>
      <c r="I539" s="113"/>
      <c r="V539" s="113"/>
      <c r="W539" s="92"/>
      <c r="X539" s="293"/>
      <c r="Y539" s="113"/>
    </row>
    <row r="540" spans="7:25" ht="12.75">
      <c r="G540" s="113"/>
      <c r="H540" s="113"/>
      <c r="I540" s="113"/>
      <c r="V540" s="113"/>
      <c r="W540" s="92"/>
      <c r="X540" s="293"/>
      <c r="Y540" s="113"/>
    </row>
    <row r="541" spans="7:25" ht="12.75">
      <c r="G541" s="113"/>
      <c r="H541" s="113"/>
      <c r="I541" s="113"/>
      <c r="V541" s="113"/>
      <c r="W541" s="92"/>
      <c r="X541" s="293"/>
      <c r="Y541" s="113"/>
    </row>
    <row r="542" spans="7:25" ht="12.75">
      <c r="G542" s="113"/>
      <c r="H542" s="113"/>
      <c r="I542" s="113"/>
      <c r="V542" s="113"/>
      <c r="W542" s="92"/>
      <c r="X542" s="293"/>
      <c r="Y542" s="113"/>
    </row>
    <row r="543" spans="7:25" ht="12.75">
      <c r="G543" s="113"/>
      <c r="H543" s="113"/>
      <c r="I543" s="113"/>
      <c r="V543" s="113"/>
      <c r="W543" s="92"/>
      <c r="X543" s="293"/>
      <c r="Y543" s="113"/>
    </row>
    <row r="544" spans="7:25" ht="12.75">
      <c r="G544" s="113"/>
      <c r="H544" s="113"/>
      <c r="I544" s="113"/>
      <c r="V544" s="113"/>
      <c r="W544" s="92"/>
      <c r="X544" s="293"/>
      <c r="Y544" s="113"/>
    </row>
    <row r="545" spans="7:25" ht="12.75">
      <c r="G545" s="113"/>
      <c r="H545" s="113"/>
      <c r="I545" s="113"/>
      <c r="V545" s="113"/>
      <c r="W545" s="92"/>
      <c r="X545" s="293"/>
      <c r="Y545" s="113"/>
    </row>
    <row r="546" spans="7:25" ht="12.75">
      <c r="G546" s="92"/>
      <c r="H546" s="92"/>
      <c r="I546" s="92"/>
      <c r="V546" s="92"/>
      <c r="W546" s="92"/>
      <c r="X546" s="293"/>
      <c r="Y546" s="92"/>
    </row>
    <row r="547" spans="7:25" ht="12.75">
      <c r="G547" s="92"/>
      <c r="H547" s="92"/>
      <c r="I547" s="92"/>
      <c r="V547" s="92"/>
      <c r="W547" s="92"/>
      <c r="X547" s="293"/>
      <c r="Y547" s="92"/>
    </row>
    <row r="548" spans="7:25" ht="12.75">
      <c r="G548" s="92"/>
      <c r="H548" s="92"/>
      <c r="I548" s="92"/>
      <c r="V548" s="92"/>
      <c r="W548" s="92"/>
      <c r="X548" s="293"/>
      <c r="Y548" s="92"/>
    </row>
    <row r="549" spans="7:25" ht="12.75">
      <c r="G549" s="92"/>
      <c r="H549" s="92"/>
      <c r="I549" s="92"/>
      <c r="V549" s="92"/>
      <c r="W549" s="92"/>
      <c r="X549" s="293"/>
      <c r="Y549" s="92"/>
    </row>
    <row r="550" spans="7:25" ht="12.75">
      <c r="G550" s="92"/>
      <c r="H550" s="92"/>
      <c r="I550" s="92"/>
      <c r="V550" s="92"/>
      <c r="W550" s="92"/>
      <c r="X550" s="293"/>
      <c r="Y550" s="92"/>
    </row>
    <row r="551" spans="7:25" ht="12.75">
      <c r="G551" s="92"/>
      <c r="H551" s="92"/>
      <c r="I551" s="92"/>
      <c r="V551" s="92"/>
      <c r="W551" s="92"/>
      <c r="X551" s="293"/>
      <c r="Y551" s="92"/>
    </row>
    <row r="552" spans="7:25" ht="12.75">
      <c r="G552" s="92"/>
      <c r="H552" s="92"/>
      <c r="I552" s="92"/>
      <c r="V552" s="92"/>
      <c r="W552" s="92"/>
      <c r="X552" s="293"/>
      <c r="Y552" s="92"/>
    </row>
    <row r="553" spans="7:25" ht="12.75">
      <c r="G553" s="92"/>
      <c r="H553" s="92"/>
      <c r="I553" s="92"/>
      <c r="V553" s="92"/>
      <c r="W553" s="92"/>
      <c r="X553" s="293"/>
      <c r="Y553" s="92"/>
    </row>
    <row r="554" spans="7:25" ht="12.75">
      <c r="G554" s="92"/>
      <c r="H554" s="92"/>
      <c r="I554" s="92"/>
      <c r="V554" s="92"/>
      <c r="W554" s="92"/>
      <c r="X554" s="293"/>
      <c r="Y554" s="92"/>
    </row>
    <row r="555" spans="7:25" ht="12.75">
      <c r="G555" s="92"/>
      <c r="H555" s="92"/>
      <c r="I555" s="92"/>
      <c r="V555" s="92"/>
      <c r="W555" s="92"/>
      <c r="X555" s="293"/>
      <c r="Y555" s="92"/>
    </row>
    <row r="556" spans="7:25" ht="12.75">
      <c r="G556" s="92"/>
      <c r="H556" s="92"/>
      <c r="I556" s="92"/>
      <c r="V556" s="92"/>
      <c r="W556" s="92"/>
      <c r="X556" s="293"/>
      <c r="Y556" s="92"/>
    </row>
    <row r="557" spans="7:25" ht="12.75">
      <c r="G557" s="92"/>
      <c r="H557" s="92"/>
      <c r="I557" s="92"/>
      <c r="V557" s="92"/>
      <c r="W557" s="92"/>
      <c r="X557" s="293"/>
      <c r="Y557" s="92"/>
    </row>
    <row r="558" spans="7:25" ht="12.75">
      <c r="G558" s="92"/>
      <c r="H558" s="92"/>
      <c r="I558" s="92"/>
      <c r="V558" s="92"/>
      <c r="W558" s="92"/>
      <c r="X558" s="293"/>
      <c r="Y558" s="92"/>
    </row>
  </sheetData>
  <printOptions/>
  <pageMargins left="0.5" right="0.5" top="1" bottom="0.4" header="0.5" footer="0.3"/>
  <pageSetup horizontalDpi="600" verticalDpi="600" orientation="landscape" r:id="rId3"/>
  <headerFooter alignWithMargins="0">
    <oddHeader>&amp;RAttachment C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7"/>
  <sheetViews>
    <sheetView zoomScale="86" zoomScaleNormal="86" zoomScaleSheetLayoutView="100" workbookViewId="0" topLeftCell="B1">
      <pane xSplit="6" ySplit="6" topLeftCell="H65" activePane="bottomRight" state="frozen"/>
      <selection pane="topLeft" activeCell="B1" sqref="B1"/>
      <selection pane="topRight" activeCell="G1" sqref="G1"/>
      <selection pane="bottomLeft" activeCell="B7" sqref="B7"/>
      <selection pane="bottomRight" activeCell="P82" sqref="P82"/>
    </sheetView>
  </sheetViews>
  <sheetFormatPr defaultColWidth="9.140625" defaultRowHeight="12.75"/>
  <cols>
    <col min="1" max="1" width="6.421875" style="5" hidden="1" customWidth="1"/>
    <col min="2" max="2" width="5.28125" style="0" customWidth="1"/>
    <col min="3" max="3" width="12.8515625" style="0" hidden="1" customWidth="1"/>
    <col min="4" max="4" width="10.7109375" style="0" hidden="1" customWidth="1"/>
    <col min="5" max="5" width="31.28125" style="0" customWidth="1"/>
    <col min="6" max="6" width="3.57421875" style="0" customWidth="1"/>
    <col min="7" max="7" width="11.421875" style="5" customWidth="1"/>
    <col min="8" max="8" width="10.7109375" style="5" customWidth="1"/>
    <col min="9" max="9" width="10.8515625" style="5" customWidth="1"/>
    <col min="10" max="10" width="6.8515625" style="0" hidden="1" customWidth="1"/>
    <col min="11" max="11" width="10.28125" style="5" hidden="1" customWidth="1"/>
    <col min="12" max="14" width="9.421875" style="5" hidden="1" customWidth="1"/>
    <col min="15" max="15" width="11.00390625" style="0" hidden="1" customWidth="1"/>
    <col min="16" max="16" width="20.421875" style="0" customWidth="1"/>
    <col min="17" max="17" width="7.00390625" style="0" hidden="1" customWidth="1"/>
    <col min="18" max="18" width="8.7109375" style="0" hidden="1" customWidth="1"/>
    <col min="19" max="19" width="0" style="0" hidden="1" customWidth="1"/>
    <col min="20" max="21" width="8.8515625" style="0" hidden="1" customWidth="1"/>
    <col min="22" max="22" width="13.140625" style="5" bestFit="1" customWidth="1"/>
    <col min="23" max="23" width="8.00390625" style="5" customWidth="1"/>
    <col min="24" max="24" width="8.140625" style="292" customWidth="1"/>
    <col min="25" max="25" width="11.8515625" style="5" customWidth="1"/>
  </cols>
  <sheetData>
    <row r="1" spans="2:23" ht="12.75" customHeight="1" thickBot="1">
      <c r="B1" t="s">
        <v>99</v>
      </c>
      <c r="R1" s="144">
        <v>38617</v>
      </c>
      <c r="S1" s="251"/>
      <c r="T1" s="5"/>
      <c r="U1" s="5"/>
      <c r="V1" s="144">
        <v>38635</v>
      </c>
      <c r="W1" s="251"/>
    </row>
    <row r="2" spans="1:25" ht="15.75">
      <c r="A2" s="173"/>
      <c r="B2" s="174"/>
      <c r="C2" s="175"/>
      <c r="D2" s="165"/>
      <c r="E2" s="176"/>
      <c r="F2" s="176"/>
      <c r="G2" s="6"/>
      <c r="H2" s="37" t="s">
        <v>78</v>
      </c>
      <c r="I2" s="37"/>
      <c r="J2" s="35"/>
      <c r="K2" s="145"/>
      <c r="L2" s="145"/>
      <c r="M2" s="145"/>
      <c r="N2" s="145"/>
      <c r="O2" s="146"/>
      <c r="P2" s="35"/>
      <c r="Q2" s="3"/>
      <c r="R2" s="35"/>
      <c r="S2" s="252"/>
      <c r="T2" s="6"/>
      <c r="U2" s="37" t="s">
        <v>144</v>
      </c>
      <c r="V2" s="297" t="s">
        <v>141</v>
      </c>
      <c r="W2" s="297"/>
      <c r="X2" s="298"/>
      <c r="Y2" s="299"/>
    </row>
    <row r="3" spans="1:25" ht="13.5" thickBot="1">
      <c r="A3" s="167"/>
      <c r="B3" s="171"/>
      <c r="C3" s="62" t="s">
        <v>1</v>
      </c>
      <c r="D3" s="62" t="s">
        <v>0</v>
      </c>
      <c r="E3" s="170"/>
      <c r="F3" s="170"/>
      <c r="G3" s="36" t="s">
        <v>1</v>
      </c>
      <c r="H3" s="36" t="s">
        <v>79</v>
      </c>
      <c r="I3" s="36" t="s">
        <v>81</v>
      </c>
      <c r="J3" s="63" t="s">
        <v>91</v>
      </c>
      <c r="K3" s="147"/>
      <c r="L3" s="147"/>
      <c r="M3" s="147"/>
      <c r="N3" s="147"/>
      <c r="O3" s="14"/>
      <c r="P3" s="38"/>
      <c r="Q3" s="4"/>
      <c r="R3" s="63" t="s">
        <v>79</v>
      </c>
      <c r="S3" s="253"/>
      <c r="T3" s="63" t="s">
        <v>120</v>
      </c>
      <c r="U3" s="63" t="s">
        <v>145</v>
      </c>
      <c r="V3" s="300" t="s">
        <v>142</v>
      </c>
      <c r="W3" s="301" t="s">
        <v>155</v>
      </c>
      <c r="X3" s="302"/>
      <c r="Y3" s="303"/>
    </row>
    <row r="4" spans="1:25" ht="12.75">
      <c r="A4" s="168" t="s">
        <v>41</v>
      </c>
      <c r="B4" s="171"/>
      <c r="C4" s="62" t="s">
        <v>2</v>
      </c>
      <c r="D4" s="62" t="s">
        <v>3</v>
      </c>
      <c r="E4" s="170"/>
      <c r="F4" s="170"/>
      <c r="G4" s="36" t="s">
        <v>2</v>
      </c>
      <c r="H4" s="36" t="s">
        <v>3</v>
      </c>
      <c r="I4" s="36" t="s">
        <v>77</v>
      </c>
      <c r="J4" s="137" t="s">
        <v>92</v>
      </c>
      <c r="K4" s="62" t="s">
        <v>86</v>
      </c>
      <c r="L4" s="62" t="s">
        <v>87</v>
      </c>
      <c r="M4" s="62" t="s">
        <v>88</v>
      </c>
      <c r="N4" s="62" t="s">
        <v>89</v>
      </c>
      <c r="O4" s="62" t="s">
        <v>90</v>
      </c>
      <c r="P4" s="38"/>
      <c r="Q4" s="143" t="s">
        <v>76</v>
      </c>
      <c r="R4" s="36" t="s">
        <v>112</v>
      </c>
      <c r="S4" s="36" t="s">
        <v>116</v>
      </c>
      <c r="T4" s="63" t="s">
        <v>121</v>
      </c>
      <c r="U4" s="63" t="s">
        <v>146</v>
      </c>
      <c r="V4" s="304" t="s">
        <v>2</v>
      </c>
      <c r="W4" s="300" t="s">
        <v>148</v>
      </c>
      <c r="X4" s="305" t="s">
        <v>148</v>
      </c>
      <c r="Y4" s="306"/>
    </row>
    <row r="5" spans="1:25" ht="16.5" thickBot="1">
      <c r="A5" s="169" t="s">
        <v>1</v>
      </c>
      <c r="B5" s="172" t="s">
        <v>4</v>
      </c>
      <c r="C5" s="62" t="s">
        <v>5</v>
      </c>
      <c r="D5" s="62" t="s">
        <v>5</v>
      </c>
      <c r="E5" s="170"/>
      <c r="F5" s="170"/>
      <c r="G5" s="36" t="s">
        <v>5</v>
      </c>
      <c r="H5" s="36" t="s">
        <v>5</v>
      </c>
      <c r="I5" s="36" t="s">
        <v>5</v>
      </c>
      <c r="J5" s="138" t="s">
        <v>53</v>
      </c>
      <c r="K5" s="62" t="s">
        <v>53</v>
      </c>
      <c r="L5" s="62" t="s">
        <v>53</v>
      </c>
      <c r="M5" s="62" t="s">
        <v>53</v>
      </c>
      <c r="N5" s="62" t="s">
        <v>53</v>
      </c>
      <c r="O5" s="148" t="s">
        <v>0</v>
      </c>
      <c r="P5" s="36" t="s">
        <v>54</v>
      </c>
      <c r="Q5" s="15" t="s">
        <v>75</v>
      </c>
      <c r="R5" s="36" t="s">
        <v>3</v>
      </c>
      <c r="S5" s="141" t="s">
        <v>114</v>
      </c>
      <c r="T5" s="36" t="s">
        <v>122</v>
      </c>
      <c r="U5" s="36" t="s">
        <v>143</v>
      </c>
      <c r="V5" s="304" t="s">
        <v>5</v>
      </c>
      <c r="W5" s="307" t="s">
        <v>150</v>
      </c>
      <c r="X5" s="308" t="s">
        <v>141</v>
      </c>
      <c r="Y5" s="309"/>
    </row>
    <row r="6" spans="1:25" s="192" customFormat="1" ht="13.5" thickBot="1">
      <c r="A6" s="193"/>
      <c r="B6" s="194" t="s">
        <v>43</v>
      </c>
      <c r="C6" s="195"/>
      <c r="D6" s="196"/>
      <c r="E6" s="197"/>
      <c r="F6" s="197"/>
      <c r="G6" s="142">
        <f>G76</f>
        <v>27169865</v>
      </c>
      <c r="H6" s="94">
        <f>H76</f>
        <v>674184.5</v>
      </c>
      <c r="I6" s="95">
        <f>I76</f>
        <v>14583304</v>
      </c>
      <c r="J6" s="198"/>
      <c r="K6" s="199"/>
      <c r="L6" s="199"/>
      <c r="M6" s="199"/>
      <c r="N6" s="199"/>
      <c r="O6" s="200"/>
      <c r="P6" s="198"/>
      <c r="Q6" s="201"/>
      <c r="R6" s="202" t="s">
        <v>113</v>
      </c>
      <c r="S6" s="254" t="s">
        <v>77</v>
      </c>
      <c r="T6" s="203" t="s">
        <v>123</v>
      </c>
      <c r="U6" s="291" t="s">
        <v>127</v>
      </c>
      <c r="V6" s="310">
        <f>V76</f>
        <v>32492487.310000002</v>
      </c>
      <c r="W6" s="311" t="s">
        <v>149</v>
      </c>
      <c r="X6" s="312" t="s">
        <v>149</v>
      </c>
      <c r="Y6" s="313" t="s">
        <v>154</v>
      </c>
    </row>
    <row r="7" spans="1:25" s="14" customFormat="1" ht="12.75">
      <c r="A7" s="167"/>
      <c r="B7" s="19"/>
      <c r="C7" s="19"/>
      <c r="D7" s="20"/>
      <c r="E7" s="20"/>
      <c r="F7" s="20"/>
      <c r="G7" s="210"/>
      <c r="H7" s="210"/>
      <c r="I7" s="210"/>
      <c r="K7" s="147"/>
      <c r="L7" s="147"/>
      <c r="M7" s="147"/>
      <c r="N7" s="147"/>
      <c r="S7" s="161"/>
      <c r="T7" s="147"/>
      <c r="U7" s="147"/>
      <c r="V7" s="335"/>
      <c r="W7" s="336"/>
      <c r="X7" s="294"/>
      <c r="Y7" s="335"/>
    </row>
    <row r="8" spans="1:25" s="14" customFormat="1" ht="16.5" thickBot="1">
      <c r="A8" s="167"/>
      <c r="B8" s="211" t="s">
        <v>131</v>
      </c>
      <c r="C8" s="19"/>
      <c r="D8" s="20"/>
      <c r="E8" s="20"/>
      <c r="F8" s="20"/>
      <c r="G8" s="210"/>
      <c r="H8" s="210"/>
      <c r="I8" s="210"/>
      <c r="K8" s="147"/>
      <c r="L8" s="147"/>
      <c r="M8" s="147"/>
      <c r="N8" s="147"/>
      <c r="S8" s="161"/>
      <c r="T8" s="147"/>
      <c r="U8" s="147"/>
      <c r="V8" s="335"/>
      <c r="W8" s="336"/>
      <c r="X8" s="294"/>
      <c r="Y8" s="335"/>
    </row>
    <row r="9" spans="1:25" ht="12.75">
      <c r="A9" s="173" t="s">
        <v>42</v>
      </c>
      <c r="B9" s="241" t="s">
        <v>49</v>
      </c>
      <c r="C9" s="233">
        <v>80202</v>
      </c>
      <c r="D9" s="234">
        <v>1063</v>
      </c>
      <c r="E9" s="268"/>
      <c r="F9" s="268" t="s">
        <v>157</v>
      </c>
      <c r="G9" s="236">
        <f>IF(A9="X",C9,0)</f>
        <v>80202</v>
      </c>
      <c r="H9" s="236">
        <f>IF(A9="X",D9,0)</f>
        <v>1063</v>
      </c>
      <c r="I9" s="236">
        <f>IF(A9="X",G9,0)</f>
        <v>80202</v>
      </c>
      <c r="J9" s="247">
        <f>SUM(J8+1)</f>
        <v>1</v>
      </c>
      <c r="K9" s="145">
        <v>15</v>
      </c>
      <c r="L9" s="145">
        <v>2</v>
      </c>
      <c r="M9" s="145">
        <v>36</v>
      </c>
      <c r="N9" s="146">
        <v>6</v>
      </c>
      <c r="O9" s="239">
        <f>SUM(K9:N9)</f>
        <v>59</v>
      </c>
      <c r="P9" s="240" t="s">
        <v>61</v>
      </c>
      <c r="Q9" s="269"/>
      <c r="R9" s="223">
        <f>+H9/G9</f>
        <v>0.01325403356524775</v>
      </c>
      <c r="S9" s="255">
        <f>+Sheet3!W6</f>
        <v>0.0634829898341535</v>
      </c>
      <c r="T9" s="267">
        <v>2006</v>
      </c>
      <c r="U9" s="283">
        <v>0.3</v>
      </c>
      <c r="V9" s="315">
        <f>G9*(1+U9)</f>
        <v>104262.6</v>
      </c>
      <c r="W9" s="316">
        <v>0</v>
      </c>
      <c r="X9" s="316">
        <v>4</v>
      </c>
      <c r="Y9" s="317" t="s">
        <v>151</v>
      </c>
    </row>
    <row r="10" spans="1:25" ht="12.75">
      <c r="A10" s="167" t="s">
        <v>137</v>
      </c>
      <c r="B10" s="152" t="s">
        <v>20</v>
      </c>
      <c r="C10" s="1">
        <v>87391</v>
      </c>
      <c r="D10" s="31">
        <v>2500</v>
      </c>
      <c r="E10" s="264"/>
      <c r="F10" s="264" t="s">
        <v>157</v>
      </c>
      <c r="G10" s="107">
        <f>IF(A10="X",C10,0)</f>
        <v>87391</v>
      </c>
      <c r="H10" s="107">
        <f>IF(A10="X",D10,0)</f>
        <v>2500</v>
      </c>
      <c r="I10" s="107">
        <f>IF(A9="X",G10,0)</f>
        <v>87391</v>
      </c>
      <c r="J10" s="229">
        <v>2</v>
      </c>
      <c r="K10" s="147">
        <v>21</v>
      </c>
      <c r="L10" s="147">
        <v>29</v>
      </c>
      <c r="M10" s="147">
        <v>35</v>
      </c>
      <c r="N10" s="14">
        <v>4</v>
      </c>
      <c r="O10" s="150">
        <f>SUM(K10:N10)</f>
        <v>89</v>
      </c>
      <c r="P10" s="69" t="s">
        <v>61</v>
      </c>
      <c r="Q10" s="266"/>
      <c r="R10" s="132">
        <f>+H10/G10</f>
        <v>0.028607064800723187</v>
      </c>
      <c r="S10" s="163">
        <f>+Sheet3!W14</f>
        <v>0.09277275601772286</v>
      </c>
      <c r="T10" s="222">
        <v>2007</v>
      </c>
      <c r="U10" s="284">
        <v>0.2</v>
      </c>
      <c r="V10" s="318">
        <f>G10*(1+U10)</f>
        <v>104869.2</v>
      </c>
      <c r="W10" s="319">
        <v>0</v>
      </c>
      <c r="X10" s="319">
        <v>1</v>
      </c>
      <c r="Y10" s="320" t="s">
        <v>152</v>
      </c>
    </row>
    <row r="11" spans="1:25" ht="12.75">
      <c r="A11" s="206" t="s">
        <v>42</v>
      </c>
      <c r="B11" s="153" t="s">
        <v>166</v>
      </c>
      <c r="C11" s="13">
        <v>5800000</v>
      </c>
      <c r="D11" s="32">
        <v>0</v>
      </c>
      <c r="E11" s="265"/>
      <c r="F11" s="265" t="s">
        <v>156</v>
      </c>
      <c r="G11" s="102">
        <f>IF(A11="X",C11,0)</f>
        <v>5800000</v>
      </c>
      <c r="H11" s="102">
        <f>IF(A11="X",D11,0)</f>
        <v>0</v>
      </c>
      <c r="I11" s="102">
        <v>5800000</v>
      </c>
      <c r="J11" s="229">
        <v>3</v>
      </c>
      <c r="K11" s="147">
        <v>48</v>
      </c>
      <c r="L11" s="147">
        <v>1</v>
      </c>
      <c r="M11" s="147">
        <v>29</v>
      </c>
      <c r="N11" s="14">
        <v>1</v>
      </c>
      <c r="O11" s="150">
        <f>SUM(K11:N11)</f>
        <v>79</v>
      </c>
      <c r="P11" s="139" t="s">
        <v>73</v>
      </c>
      <c r="Q11" s="266"/>
      <c r="R11" s="132">
        <f>+H11/G11</f>
        <v>0</v>
      </c>
      <c r="S11" s="163">
        <f>+Sheet3!W7</f>
        <v>0.03000000000000204</v>
      </c>
      <c r="T11" s="222">
        <v>2007</v>
      </c>
      <c r="U11" s="284">
        <f>V11/I11-1</f>
        <v>0.4655172413793103</v>
      </c>
      <c r="V11" s="318">
        <v>8500000</v>
      </c>
      <c r="W11" s="319">
        <v>0</v>
      </c>
      <c r="X11" s="319">
        <v>4</v>
      </c>
      <c r="Y11" s="320" t="s">
        <v>165</v>
      </c>
    </row>
    <row r="12" spans="1:25" ht="12.75">
      <c r="A12" s="167" t="s">
        <v>42</v>
      </c>
      <c r="B12" s="205" t="s">
        <v>19</v>
      </c>
      <c r="C12" s="45">
        <v>19380</v>
      </c>
      <c r="D12" s="46">
        <v>500</v>
      </c>
      <c r="E12" s="264"/>
      <c r="F12" s="264" t="s">
        <v>157</v>
      </c>
      <c r="G12" s="98">
        <f>IF(A12="X",C12,0)</f>
        <v>19380</v>
      </c>
      <c r="H12" s="98">
        <f>IF(A12="X",D12,0)</f>
        <v>500</v>
      </c>
      <c r="I12" s="98">
        <f>IF(A12="X",G12,0)</f>
        <v>19380</v>
      </c>
      <c r="J12" s="229">
        <f>SUM(J11+1)</f>
        <v>4</v>
      </c>
      <c r="K12" s="147">
        <v>13</v>
      </c>
      <c r="L12" s="147">
        <v>5</v>
      </c>
      <c r="M12" s="147">
        <v>37</v>
      </c>
      <c r="N12" s="14">
        <v>11</v>
      </c>
      <c r="O12" s="150">
        <f>SUM(K12:N12)</f>
        <v>66</v>
      </c>
      <c r="P12" s="69" t="s">
        <v>61</v>
      </c>
      <c r="Q12" s="266"/>
      <c r="R12" s="132">
        <f>+H12/G12</f>
        <v>0.025799793601651185</v>
      </c>
      <c r="S12" s="163">
        <f>+Sheet3!W8</f>
        <v>0.08786751683077666</v>
      </c>
      <c r="T12" s="222">
        <v>2006</v>
      </c>
      <c r="U12" s="284">
        <v>0.2</v>
      </c>
      <c r="V12" s="318">
        <f>G12*(1+U12)</f>
        <v>23256</v>
      </c>
      <c r="W12" s="319">
        <v>0</v>
      </c>
      <c r="X12" s="319">
        <v>1</v>
      </c>
      <c r="Y12" s="320" t="s">
        <v>152</v>
      </c>
    </row>
    <row r="13" spans="1:25" ht="13.5" thickBot="1">
      <c r="A13" s="167" t="s">
        <v>42</v>
      </c>
      <c r="B13" s="249" t="s">
        <v>138</v>
      </c>
      <c r="C13" s="224">
        <v>275604</v>
      </c>
      <c r="D13" s="225">
        <v>0</v>
      </c>
      <c r="E13" s="270"/>
      <c r="F13" s="270"/>
      <c r="G13" s="185">
        <f>IF(A13="X",C13,0)</f>
        <v>275604</v>
      </c>
      <c r="H13" s="185">
        <f>IF(A13="X",D13,0)</f>
        <v>0</v>
      </c>
      <c r="I13" s="110">
        <v>0</v>
      </c>
      <c r="J13" s="262" t="s">
        <v>127</v>
      </c>
      <c r="K13" s="159"/>
      <c r="L13" s="159"/>
      <c r="M13" s="159"/>
      <c r="N13" s="159"/>
      <c r="O13" s="17"/>
      <c r="P13" s="34"/>
      <c r="Q13" s="271"/>
      <c r="R13" s="140">
        <f>+H13/G13</f>
        <v>0</v>
      </c>
      <c r="S13" s="140" t="s">
        <v>124</v>
      </c>
      <c r="T13" s="263" t="s">
        <v>124</v>
      </c>
      <c r="U13" s="285">
        <v>0</v>
      </c>
      <c r="V13" s="321">
        <f>G13*(1+U13)</f>
        <v>275604</v>
      </c>
      <c r="W13" s="319"/>
      <c r="X13" s="319"/>
      <c r="Y13" s="320"/>
    </row>
    <row r="14" spans="1:25" ht="13.5" thickBot="1">
      <c r="A14" s="9"/>
      <c r="B14" s="242"/>
      <c r="C14" s="243"/>
      <c r="D14" s="184"/>
      <c r="E14" s="184" t="s">
        <v>132</v>
      </c>
      <c r="F14" s="184"/>
      <c r="G14" s="185">
        <f>SUM(G9:G13)</f>
        <v>6262577</v>
      </c>
      <c r="H14" s="185">
        <f>SUM(H9:H13)</f>
        <v>4063</v>
      </c>
      <c r="I14" s="185">
        <f>SUM(I9:I13)</f>
        <v>5986973</v>
      </c>
      <c r="J14" s="186"/>
      <c r="K14" s="159"/>
      <c r="L14" s="159"/>
      <c r="M14" s="159"/>
      <c r="N14" s="17"/>
      <c r="O14" s="187"/>
      <c r="P14" s="188"/>
      <c r="Q14" s="18"/>
      <c r="R14" s="140"/>
      <c r="S14" s="256"/>
      <c r="T14" s="9"/>
      <c r="U14" s="9"/>
      <c r="V14" s="322">
        <f>SUM(V9:V13)</f>
        <v>9007991.8</v>
      </c>
      <c r="W14" s="323"/>
      <c r="X14" s="323"/>
      <c r="Y14" s="324"/>
    </row>
    <row r="15" spans="1:25" s="14" customFormat="1" ht="12.75">
      <c r="A15" s="147"/>
      <c r="B15" s="71"/>
      <c r="C15" s="179"/>
      <c r="D15" s="33"/>
      <c r="E15" s="33"/>
      <c r="F15" s="33"/>
      <c r="G15" s="109"/>
      <c r="H15" s="109"/>
      <c r="I15" s="109"/>
      <c r="J15" s="212"/>
      <c r="K15" s="147"/>
      <c r="L15" s="147"/>
      <c r="M15" s="147"/>
      <c r="O15" s="150"/>
      <c r="P15" s="213"/>
      <c r="R15" s="214"/>
      <c r="S15" s="228"/>
      <c r="T15" s="147"/>
      <c r="U15" s="147"/>
      <c r="V15" s="227"/>
      <c r="W15" s="294"/>
      <c r="X15" s="294"/>
      <c r="Y15" s="295"/>
    </row>
    <row r="16" spans="1:25" s="14" customFormat="1" ht="12.75">
      <c r="A16" s="147"/>
      <c r="B16" s="71"/>
      <c r="C16" s="179"/>
      <c r="D16" s="33"/>
      <c r="E16" s="33"/>
      <c r="F16" s="33"/>
      <c r="G16" s="109"/>
      <c r="H16" s="109"/>
      <c r="I16" s="109"/>
      <c r="J16" s="212"/>
      <c r="K16" s="147"/>
      <c r="L16" s="147"/>
      <c r="M16" s="147"/>
      <c r="O16" s="150"/>
      <c r="P16" s="213"/>
      <c r="R16" s="214"/>
      <c r="S16" s="228"/>
      <c r="T16" s="147"/>
      <c r="U16" s="147"/>
      <c r="V16" s="227"/>
      <c r="W16" s="294"/>
      <c r="X16" s="294"/>
      <c r="Y16" s="295"/>
    </row>
    <row r="17" spans="1:25" s="14" customFormat="1" ht="16.5" thickBot="1">
      <c r="A17" s="147"/>
      <c r="B17" s="211" t="s">
        <v>133</v>
      </c>
      <c r="C17" s="179"/>
      <c r="D17" s="33"/>
      <c r="E17" s="33"/>
      <c r="F17" s="33"/>
      <c r="G17" s="109"/>
      <c r="H17" s="109"/>
      <c r="I17" s="109"/>
      <c r="J17" s="212"/>
      <c r="K17" s="147"/>
      <c r="L17" s="147"/>
      <c r="M17" s="147"/>
      <c r="O17" s="150"/>
      <c r="P17" s="213"/>
      <c r="R17" s="214"/>
      <c r="S17" s="228"/>
      <c r="T17" s="147"/>
      <c r="U17" s="147"/>
      <c r="V17" s="227"/>
      <c r="W17" s="294"/>
      <c r="X17" s="294"/>
      <c r="Y17" s="295"/>
    </row>
    <row r="18" spans="1:25" ht="12.75">
      <c r="A18" s="173" t="s">
        <v>42</v>
      </c>
      <c r="B18" s="232" t="s">
        <v>47</v>
      </c>
      <c r="C18" s="233">
        <v>1276824</v>
      </c>
      <c r="D18" s="234">
        <v>17190</v>
      </c>
      <c r="E18" s="235"/>
      <c r="F18" s="235" t="s">
        <v>157</v>
      </c>
      <c r="G18" s="236">
        <f aca="true" t="shared" si="0" ref="G18:G30">IF(A18="X",C18,0)</f>
        <v>1276824</v>
      </c>
      <c r="H18" s="236">
        <f aca="true" t="shared" si="1" ref="H18:H30">IF(A18="X",D18,0)</f>
        <v>17190</v>
      </c>
      <c r="I18" s="237">
        <f aca="true" t="shared" si="2" ref="I18:I26">IF(A18="X",G18,0)</f>
        <v>1276824</v>
      </c>
      <c r="J18" s="238">
        <f>SUM(J12+1)</f>
        <v>5</v>
      </c>
      <c r="K18" s="145">
        <v>17</v>
      </c>
      <c r="L18" s="145">
        <v>8</v>
      </c>
      <c r="M18" s="145">
        <v>38</v>
      </c>
      <c r="N18" s="146">
        <v>5</v>
      </c>
      <c r="O18" s="239">
        <f aca="true" t="shared" si="3" ref="O18:O30">SUM(K18:N18)</f>
        <v>68</v>
      </c>
      <c r="P18" s="240" t="s">
        <v>61</v>
      </c>
      <c r="Q18" s="3"/>
      <c r="R18" s="223">
        <f aca="true" t="shared" si="4" ref="R18:R30">+H18/G18</f>
        <v>0.013463092799007537</v>
      </c>
      <c r="S18" s="255">
        <f>+Sheet3!W9</f>
        <v>0.06393147021137821</v>
      </c>
      <c r="T18" s="6">
        <v>2006</v>
      </c>
      <c r="U18" s="286">
        <v>0.2</v>
      </c>
      <c r="V18" s="315">
        <f>G18*(1+U18)</f>
        <v>1532188.8</v>
      </c>
      <c r="W18" s="316">
        <v>2</v>
      </c>
      <c r="X18" s="316">
        <v>12</v>
      </c>
      <c r="Y18" s="317" t="s">
        <v>153</v>
      </c>
    </row>
    <row r="19" spans="1:25" ht="12.75">
      <c r="A19" s="167" t="s">
        <v>42</v>
      </c>
      <c r="B19" s="208" t="s">
        <v>15</v>
      </c>
      <c r="C19" s="1">
        <v>9960</v>
      </c>
      <c r="D19" s="31">
        <v>300</v>
      </c>
      <c r="E19" s="166"/>
      <c r="F19" s="166" t="s">
        <v>157</v>
      </c>
      <c r="G19" s="98">
        <f t="shared" si="0"/>
        <v>9960</v>
      </c>
      <c r="H19" s="98">
        <f t="shared" si="1"/>
        <v>300</v>
      </c>
      <c r="I19" s="103">
        <f t="shared" si="2"/>
        <v>9960</v>
      </c>
      <c r="J19" s="44">
        <f>SUM(J18+1)</f>
        <v>6</v>
      </c>
      <c r="K19" s="147">
        <v>11</v>
      </c>
      <c r="L19" s="147">
        <v>15</v>
      </c>
      <c r="M19" s="147">
        <v>39</v>
      </c>
      <c r="N19" s="14">
        <v>10</v>
      </c>
      <c r="O19" s="150">
        <f t="shared" si="3"/>
        <v>75</v>
      </c>
      <c r="P19" s="69" t="s">
        <v>61</v>
      </c>
      <c r="Q19" s="4"/>
      <c r="R19" s="132">
        <f t="shared" si="4"/>
        <v>0.030120481927710843</v>
      </c>
      <c r="S19" s="163">
        <f>+Sheet3!W10</f>
        <v>0.09535264871706532</v>
      </c>
      <c r="T19" s="7">
        <v>2007</v>
      </c>
      <c r="U19" s="287">
        <v>0.5</v>
      </c>
      <c r="V19" s="318">
        <f>G19*(1+U19)</f>
        <v>14940</v>
      </c>
      <c r="W19" s="319">
        <v>0</v>
      </c>
      <c r="X19" s="319">
        <v>1</v>
      </c>
      <c r="Y19" s="320" t="s">
        <v>153</v>
      </c>
    </row>
    <row r="20" spans="1:25" ht="12.75">
      <c r="A20" s="167" t="s">
        <v>42</v>
      </c>
      <c r="B20" s="209" t="s">
        <v>96</v>
      </c>
      <c r="C20" s="1">
        <v>24033</v>
      </c>
      <c r="D20" s="31">
        <v>549</v>
      </c>
      <c r="E20" s="166"/>
      <c r="F20" s="166" t="s">
        <v>157</v>
      </c>
      <c r="G20" s="98">
        <f t="shared" si="0"/>
        <v>24033</v>
      </c>
      <c r="H20" s="98">
        <f t="shared" si="1"/>
        <v>549</v>
      </c>
      <c r="I20" s="103">
        <f t="shared" si="2"/>
        <v>24033</v>
      </c>
      <c r="J20" s="44">
        <f>SUM(J19+1)</f>
        <v>7</v>
      </c>
      <c r="K20" s="147">
        <v>45</v>
      </c>
      <c r="L20" s="147">
        <v>6</v>
      </c>
      <c r="M20" s="147">
        <v>4</v>
      </c>
      <c r="N20" s="14">
        <v>22</v>
      </c>
      <c r="O20" s="150">
        <f t="shared" si="3"/>
        <v>77</v>
      </c>
      <c r="P20" s="69" t="s">
        <v>64</v>
      </c>
      <c r="Q20" s="4"/>
      <c r="R20" s="132">
        <f t="shared" si="4"/>
        <v>0.022843590063662465</v>
      </c>
      <c r="S20" s="163">
        <f>+Sheet3!W11</f>
        <v>0.08251602358256965</v>
      </c>
      <c r="T20" s="7">
        <v>2006</v>
      </c>
      <c r="U20" s="287">
        <f>V20/I20-1</f>
        <v>2.080472683393667</v>
      </c>
      <c r="V20" s="318">
        <f>G20+50000</f>
        <v>74033</v>
      </c>
      <c r="W20" s="319">
        <v>0</v>
      </c>
      <c r="X20" s="319">
        <v>3</v>
      </c>
      <c r="Y20" s="320" t="s">
        <v>152</v>
      </c>
    </row>
    <row r="21" spans="1:25" ht="12.75">
      <c r="A21" s="167" t="s">
        <v>42</v>
      </c>
      <c r="B21" s="208" t="s">
        <v>50</v>
      </c>
      <c r="C21" s="1">
        <v>703156</v>
      </c>
      <c r="D21" s="31">
        <v>4611</v>
      </c>
      <c r="E21" s="166"/>
      <c r="F21" s="166" t="s">
        <v>157</v>
      </c>
      <c r="G21" s="98">
        <f t="shared" si="0"/>
        <v>703156</v>
      </c>
      <c r="H21" s="98">
        <f t="shared" si="1"/>
        <v>4611</v>
      </c>
      <c r="I21" s="103">
        <f t="shared" si="2"/>
        <v>703156</v>
      </c>
      <c r="J21" s="44">
        <f>SUM(J20+1)</f>
        <v>8</v>
      </c>
      <c r="K21" s="147">
        <v>12</v>
      </c>
      <c r="L21" s="147">
        <v>22</v>
      </c>
      <c r="M21" s="147">
        <v>40</v>
      </c>
      <c r="N21" s="14">
        <v>12</v>
      </c>
      <c r="O21" s="150">
        <f t="shared" si="3"/>
        <v>86</v>
      </c>
      <c r="P21" s="69" t="s">
        <v>61</v>
      </c>
      <c r="Q21" s="4"/>
      <c r="R21" s="132">
        <f t="shared" si="4"/>
        <v>0.0065575775503586686</v>
      </c>
      <c r="S21" s="163">
        <f>+Sheet3!W12</f>
        <v>0.048029026915435764</v>
      </c>
      <c r="T21" s="7">
        <v>2007</v>
      </c>
      <c r="U21" s="287">
        <v>0.2</v>
      </c>
      <c r="V21" s="318">
        <f aca="true" t="shared" si="5" ref="V21:V29">G21*(1+U21)</f>
        <v>843787.2</v>
      </c>
      <c r="W21" s="319">
        <v>0</v>
      </c>
      <c r="X21" s="319">
        <v>12</v>
      </c>
      <c r="Y21" s="320" t="s">
        <v>153</v>
      </c>
    </row>
    <row r="22" spans="1:25" ht="12.75">
      <c r="A22" s="167" t="s">
        <v>42</v>
      </c>
      <c r="B22" s="208" t="s">
        <v>32</v>
      </c>
      <c r="C22" s="1">
        <v>137437</v>
      </c>
      <c r="D22" s="31">
        <v>4121</v>
      </c>
      <c r="E22" s="166"/>
      <c r="F22" s="166" t="s">
        <v>157</v>
      </c>
      <c r="G22" s="98">
        <f t="shared" si="0"/>
        <v>137437</v>
      </c>
      <c r="H22" s="98">
        <f t="shared" si="1"/>
        <v>4121</v>
      </c>
      <c r="I22" s="103">
        <f t="shared" si="2"/>
        <v>137437</v>
      </c>
      <c r="J22" s="44">
        <f>SUM(J21+1)</f>
        <v>9</v>
      </c>
      <c r="K22" s="147">
        <v>23</v>
      </c>
      <c r="L22" s="147">
        <v>3</v>
      </c>
      <c r="M22" s="147">
        <v>11</v>
      </c>
      <c r="N22" s="14">
        <v>49</v>
      </c>
      <c r="O22" s="150">
        <f t="shared" si="3"/>
        <v>86</v>
      </c>
      <c r="P22" s="69" t="s">
        <v>69</v>
      </c>
      <c r="Q22" s="4"/>
      <c r="R22" s="132">
        <f t="shared" si="4"/>
        <v>0.029984647511223324</v>
      </c>
      <c r="S22" s="163">
        <f>+Sheet3!W13</f>
        <v>0.09512284126905834</v>
      </c>
      <c r="T22" s="7">
        <v>2006</v>
      </c>
      <c r="U22" s="287">
        <v>0.18</v>
      </c>
      <c r="V22" s="318">
        <f t="shared" si="5"/>
        <v>162175.66</v>
      </c>
      <c r="W22" s="319">
        <v>0</v>
      </c>
      <c r="X22" s="319">
        <v>4</v>
      </c>
      <c r="Y22" s="320" t="s">
        <v>153</v>
      </c>
    </row>
    <row r="23" spans="1:25" ht="12.75">
      <c r="A23" s="167" t="s">
        <v>42</v>
      </c>
      <c r="B23" s="208" t="s">
        <v>39</v>
      </c>
      <c r="C23" s="1">
        <v>168025</v>
      </c>
      <c r="D23" s="31">
        <v>7482</v>
      </c>
      <c r="E23" s="166"/>
      <c r="F23" s="166" t="s">
        <v>157</v>
      </c>
      <c r="G23" s="98">
        <f t="shared" si="0"/>
        <v>168025</v>
      </c>
      <c r="H23" s="98">
        <f t="shared" si="1"/>
        <v>7482</v>
      </c>
      <c r="I23" s="103">
        <f t="shared" si="2"/>
        <v>168025</v>
      </c>
      <c r="J23" s="44">
        <v>10</v>
      </c>
      <c r="K23" s="147">
        <v>33</v>
      </c>
      <c r="L23" s="147">
        <v>13</v>
      </c>
      <c r="M23" s="147">
        <v>43</v>
      </c>
      <c r="N23" s="14">
        <v>3</v>
      </c>
      <c r="O23" s="150">
        <f t="shared" si="3"/>
        <v>92</v>
      </c>
      <c r="P23" s="69" t="s">
        <v>61</v>
      </c>
      <c r="Q23" s="4"/>
      <c r="R23" s="132">
        <f t="shared" si="4"/>
        <v>0.04452908793334325</v>
      </c>
      <c r="S23" s="163">
        <f>+Sheet3!W15</f>
        <v>0.11810388065826678</v>
      </c>
      <c r="T23" s="7">
        <v>2007</v>
      </c>
      <c r="U23" s="287">
        <v>0.2</v>
      </c>
      <c r="V23" s="318">
        <f t="shared" si="5"/>
        <v>201630</v>
      </c>
      <c r="W23" s="319">
        <v>1</v>
      </c>
      <c r="X23" s="319">
        <v>8</v>
      </c>
      <c r="Y23" s="320" t="s">
        <v>153</v>
      </c>
    </row>
    <row r="24" spans="1:25" ht="12.75">
      <c r="A24" s="167" t="s">
        <v>42</v>
      </c>
      <c r="B24" s="208" t="s">
        <v>27</v>
      </c>
      <c r="C24" s="1">
        <v>23330</v>
      </c>
      <c r="D24" s="31">
        <v>0</v>
      </c>
      <c r="E24" s="166"/>
      <c r="F24" s="166" t="s">
        <v>157</v>
      </c>
      <c r="G24" s="98">
        <f t="shared" si="0"/>
        <v>23330</v>
      </c>
      <c r="H24" s="98">
        <f t="shared" si="1"/>
        <v>0</v>
      </c>
      <c r="I24" s="103">
        <f t="shared" si="2"/>
        <v>23330</v>
      </c>
      <c r="J24" s="44">
        <f aca="true" t="shared" si="6" ref="J24:J29">SUM(J23+1)</f>
        <v>11</v>
      </c>
      <c r="K24" s="147">
        <v>29</v>
      </c>
      <c r="L24" s="147">
        <v>4</v>
      </c>
      <c r="M24" s="147">
        <v>33</v>
      </c>
      <c r="N24" s="14">
        <v>48</v>
      </c>
      <c r="O24" s="150">
        <f t="shared" si="3"/>
        <v>114</v>
      </c>
      <c r="P24" s="69" t="s">
        <v>66</v>
      </c>
      <c r="Q24" s="4"/>
      <c r="R24" s="132">
        <f t="shared" si="4"/>
        <v>0</v>
      </c>
      <c r="S24" s="163">
        <f>+Sheet3!W16</f>
        <v>0.030000000000001973</v>
      </c>
      <c r="T24" s="7">
        <v>2006</v>
      </c>
      <c r="U24" s="287">
        <v>0</v>
      </c>
      <c r="V24" s="318">
        <f t="shared" si="5"/>
        <v>23330</v>
      </c>
      <c r="W24" s="319" t="s">
        <v>127</v>
      </c>
      <c r="X24" s="319" t="s">
        <v>127</v>
      </c>
      <c r="Y24" s="320" t="s">
        <v>127</v>
      </c>
    </row>
    <row r="25" spans="1:25" ht="12.75">
      <c r="A25" s="207" t="s">
        <v>42</v>
      </c>
      <c r="B25" s="208" t="s">
        <v>55</v>
      </c>
      <c r="C25" s="1">
        <v>148819</v>
      </c>
      <c r="D25" s="31">
        <v>189</v>
      </c>
      <c r="E25" s="166"/>
      <c r="F25" s="166" t="s">
        <v>157</v>
      </c>
      <c r="G25" s="107">
        <f t="shared" si="0"/>
        <v>148819</v>
      </c>
      <c r="H25" s="107">
        <f t="shared" si="1"/>
        <v>189</v>
      </c>
      <c r="I25" s="160">
        <f t="shared" si="2"/>
        <v>148819</v>
      </c>
      <c r="J25" s="44">
        <f t="shared" si="6"/>
        <v>12</v>
      </c>
      <c r="K25" s="161">
        <v>10</v>
      </c>
      <c r="L25" s="161">
        <v>35</v>
      </c>
      <c r="M25" s="161">
        <v>28</v>
      </c>
      <c r="N25" s="19">
        <v>28</v>
      </c>
      <c r="O25" s="162">
        <f t="shared" si="3"/>
        <v>101</v>
      </c>
      <c r="P25" s="76" t="s">
        <v>68</v>
      </c>
      <c r="Q25" s="42"/>
      <c r="R25" s="163">
        <f t="shared" si="4"/>
        <v>0.0012699991264556274</v>
      </c>
      <c r="S25" s="163">
        <f>+Sheet3!W17</f>
        <v>0.033800636283524504</v>
      </c>
      <c r="T25" s="41">
        <v>2007</v>
      </c>
      <c r="U25" s="287">
        <v>0.3</v>
      </c>
      <c r="V25" s="318">
        <f t="shared" si="5"/>
        <v>193464.7</v>
      </c>
      <c r="W25" s="319">
        <v>0</v>
      </c>
      <c r="X25" s="319">
        <v>2</v>
      </c>
      <c r="Y25" s="320" t="s">
        <v>152</v>
      </c>
    </row>
    <row r="26" spans="1:25" ht="12.75">
      <c r="A26" s="167" t="s">
        <v>42</v>
      </c>
      <c r="B26" s="208" t="s">
        <v>25</v>
      </c>
      <c r="C26" s="1">
        <v>79143</v>
      </c>
      <c r="D26" s="31">
        <v>1135</v>
      </c>
      <c r="E26" s="166"/>
      <c r="F26" s="166" t="s">
        <v>157</v>
      </c>
      <c r="G26" s="98">
        <f t="shared" si="0"/>
        <v>79143</v>
      </c>
      <c r="H26" s="98">
        <f t="shared" si="1"/>
        <v>1135</v>
      </c>
      <c r="I26" s="103">
        <f t="shared" si="2"/>
        <v>79143</v>
      </c>
      <c r="J26" s="44">
        <f t="shared" si="6"/>
        <v>13</v>
      </c>
      <c r="K26" s="147">
        <v>47</v>
      </c>
      <c r="L26" s="147">
        <v>10</v>
      </c>
      <c r="M26" s="147">
        <v>26</v>
      </c>
      <c r="N26" s="14">
        <v>19</v>
      </c>
      <c r="O26" s="150">
        <f t="shared" si="3"/>
        <v>102</v>
      </c>
      <c r="P26" s="69" t="s">
        <v>65</v>
      </c>
      <c r="Q26" s="4"/>
      <c r="R26" s="132">
        <f t="shared" si="4"/>
        <v>0.014341129348141971</v>
      </c>
      <c r="S26" s="163">
        <f>+Sheet3!W20</f>
        <v>0.06579610116171375</v>
      </c>
      <c r="T26" s="7">
        <v>2007</v>
      </c>
      <c r="U26" s="287">
        <v>0.15</v>
      </c>
      <c r="V26" s="318">
        <f t="shared" si="5"/>
        <v>91014.45</v>
      </c>
      <c r="W26" s="319"/>
      <c r="X26" s="319"/>
      <c r="Y26" s="320"/>
    </row>
    <row r="27" spans="1:25" ht="12.75">
      <c r="A27" s="167" t="s">
        <v>42</v>
      </c>
      <c r="B27" s="208" t="s">
        <v>83</v>
      </c>
      <c r="C27" s="1">
        <v>122068</v>
      </c>
      <c r="D27" s="31">
        <v>1444</v>
      </c>
      <c r="E27" s="166"/>
      <c r="F27" s="166" t="s">
        <v>157</v>
      </c>
      <c r="G27" s="98">
        <f t="shared" si="0"/>
        <v>122068</v>
      </c>
      <c r="H27" s="98">
        <f t="shared" si="1"/>
        <v>1444</v>
      </c>
      <c r="I27" s="99">
        <v>122068</v>
      </c>
      <c r="J27" s="44">
        <f t="shared" si="6"/>
        <v>14</v>
      </c>
      <c r="K27" s="147">
        <v>28</v>
      </c>
      <c r="L27" s="147">
        <v>41</v>
      </c>
      <c r="M27" s="147">
        <v>16</v>
      </c>
      <c r="N27" s="14">
        <v>30</v>
      </c>
      <c r="O27" s="150">
        <f t="shared" si="3"/>
        <v>115</v>
      </c>
      <c r="P27" s="69" t="s">
        <v>71</v>
      </c>
      <c r="Q27" s="4"/>
      <c r="R27" s="132">
        <f t="shared" si="4"/>
        <v>0.011829472097519415</v>
      </c>
      <c r="S27" s="163">
        <f>+Sheet3!W21</f>
        <v>0.06037835194401443</v>
      </c>
      <c r="T27" s="7">
        <v>2007</v>
      </c>
      <c r="U27" s="287">
        <v>0.2</v>
      </c>
      <c r="V27" s="318">
        <f t="shared" si="5"/>
        <v>146481.6</v>
      </c>
      <c r="W27" s="319"/>
      <c r="X27" s="319"/>
      <c r="Y27" s="320"/>
    </row>
    <row r="28" spans="1:25" ht="12.75">
      <c r="A28" s="167" t="s">
        <v>42</v>
      </c>
      <c r="B28" s="208" t="s">
        <v>29</v>
      </c>
      <c r="C28" s="1">
        <v>10319</v>
      </c>
      <c r="D28" s="31">
        <v>1500</v>
      </c>
      <c r="E28" s="166"/>
      <c r="F28" s="166" t="s">
        <v>158</v>
      </c>
      <c r="G28" s="98">
        <f t="shared" si="0"/>
        <v>10319</v>
      </c>
      <c r="H28" s="98">
        <f t="shared" si="1"/>
        <v>1500</v>
      </c>
      <c r="I28" s="103">
        <f>IF(A28="X",G28,0)</f>
        <v>10319</v>
      </c>
      <c r="J28" s="44">
        <f t="shared" si="6"/>
        <v>15</v>
      </c>
      <c r="K28" s="147">
        <v>25</v>
      </c>
      <c r="L28" s="147">
        <v>19</v>
      </c>
      <c r="M28" s="147">
        <v>31</v>
      </c>
      <c r="N28" s="14">
        <v>44</v>
      </c>
      <c r="O28" s="150">
        <f t="shared" si="3"/>
        <v>119</v>
      </c>
      <c r="P28" s="69" t="s">
        <v>64</v>
      </c>
      <c r="Q28" s="4"/>
      <c r="R28" s="132">
        <f t="shared" si="4"/>
        <v>0.1453629227638337</v>
      </c>
      <c r="S28" s="163">
        <f>+Sheet3!W22</f>
        <v>0.23821760062497718</v>
      </c>
      <c r="T28" s="7">
        <v>2006</v>
      </c>
      <c r="U28" s="287">
        <v>0.3</v>
      </c>
      <c r="V28" s="318">
        <f t="shared" si="5"/>
        <v>13414.7</v>
      </c>
      <c r="W28" s="319">
        <v>0</v>
      </c>
      <c r="X28" s="319">
        <v>3</v>
      </c>
      <c r="Y28" s="320" t="s">
        <v>153</v>
      </c>
    </row>
    <row r="29" spans="1:25" s="43" customFormat="1" ht="12.75">
      <c r="A29" s="167" t="s">
        <v>42</v>
      </c>
      <c r="B29" s="208" t="s">
        <v>22</v>
      </c>
      <c r="C29" s="1">
        <v>487758</v>
      </c>
      <c r="D29" s="31">
        <v>23047</v>
      </c>
      <c r="E29" s="166"/>
      <c r="F29" s="166" t="s">
        <v>158</v>
      </c>
      <c r="G29" s="98">
        <f t="shared" si="0"/>
        <v>487758</v>
      </c>
      <c r="H29" s="98">
        <f t="shared" si="1"/>
        <v>23047</v>
      </c>
      <c r="I29" s="103">
        <f>IF(A29="X",G29,0)</f>
        <v>487758</v>
      </c>
      <c r="J29" s="44">
        <f t="shared" si="6"/>
        <v>16</v>
      </c>
      <c r="K29" s="147">
        <v>19</v>
      </c>
      <c r="L29" s="147">
        <v>20</v>
      </c>
      <c r="M29" s="147">
        <v>41</v>
      </c>
      <c r="N29" s="14">
        <v>9</v>
      </c>
      <c r="O29" s="150">
        <f t="shared" si="3"/>
        <v>89</v>
      </c>
      <c r="P29" s="69" t="s">
        <v>74</v>
      </c>
      <c r="Q29" s="4"/>
      <c r="R29" s="132">
        <f t="shared" si="4"/>
        <v>0.0472508908106069</v>
      </c>
      <c r="S29" s="163">
        <f>+Sheet3!W23</f>
        <v>0.12210271255923388</v>
      </c>
      <c r="T29" s="7">
        <v>2011</v>
      </c>
      <c r="U29" s="287">
        <v>0</v>
      </c>
      <c r="V29" s="318">
        <f t="shared" si="5"/>
        <v>487758</v>
      </c>
      <c r="W29" s="319"/>
      <c r="X29" s="319"/>
      <c r="Y29" s="320"/>
    </row>
    <row r="30" spans="1:25" ht="12.75">
      <c r="A30" s="167" t="s">
        <v>42</v>
      </c>
      <c r="B30" s="152" t="s">
        <v>45</v>
      </c>
      <c r="C30" s="1">
        <v>285791</v>
      </c>
      <c r="D30" s="31">
        <v>0</v>
      </c>
      <c r="E30" s="166"/>
      <c r="F30" s="166" t="s">
        <v>158</v>
      </c>
      <c r="G30" s="98">
        <f t="shared" si="0"/>
        <v>285791</v>
      </c>
      <c r="H30" s="109">
        <f t="shared" si="1"/>
        <v>0</v>
      </c>
      <c r="I30" s="98">
        <f>IF(A30="X",G30,0)</f>
        <v>285791</v>
      </c>
      <c r="J30" s="229">
        <v>17</v>
      </c>
      <c r="K30" s="147">
        <v>27</v>
      </c>
      <c r="L30" s="147">
        <v>12</v>
      </c>
      <c r="M30" s="147">
        <v>24</v>
      </c>
      <c r="N30" s="14">
        <v>23</v>
      </c>
      <c r="O30" s="150">
        <f t="shared" si="3"/>
        <v>86</v>
      </c>
      <c r="P30" s="69" t="s">
        <v>64</v>
      </c>
      <c r="Q30" s="14"/>
      <c r="R30" s="132">
        <f t="shared" si="4"/>
        <v>0</v>
      </c>
      <c r="S30" s="228">
        <f>+Sheet3!W39</f>
        <v>0.02999999999999988</v>
      </c>
      <c r="T30" s="7" t="s">
        <v>124</v>
      </c>
      <c r="U30" s="287">
        <f>V30/G30-1</f>
        <v>4.198872602706174</v>
      </c>
      <c r="V30" s="318">
        <f>I30+1200000</f>
        <v>1485791</v>
      </c>
      <c r="W30" s="319">
        <v>0</v>
      </c>
      <c r="X30" s="319">
        <v>4</v>
      </c>
      <c r="Y30" s="320" t="s">
        <v>152</v>
      </c>
    </row>
    <row r="31" spans="1:25" ht="12.75">
      <c r="A31" s="167" t="s">
        <v>42</v>
      </c>
      <c r="B31" s="152" t="s">
        <v>93</v>
      </c>
      <c r="C31" s="1">
        <v>500000</v>
      </c>
      <c r="D31" s="31">
        <v>0</v>
      </c>
      <c r="E31" s="166"/>
      <c r="F31" s="166" t="s">
        <v>158</v>
      </c>
      <c r="G31" s="98">
        <f>IF(A31="X",C31,0)</f>
        <v>500000</v>
      </c>
      <c r="H31" s="109">
        <f>IF(A31="X",D31,0)</f>
        <v>0</v>
      </c>
      <c r="I31" s="104">
        <v>0</v>
      </c>
      <c r="J31" s="229">
        <v>18</v>
      </c>
      <c r="K31" s="147">
        <v>26</v>
      </c>
      <c r="L31" s="147">
        <v>40</v>
      </c>
      <c r="M31" s="147">
        <v>30</v>
      </c>
      <c r="N31" s="14">
        <v>31</v>
      </c>
      <c r="O31" s="150">
        <f>SUM(K31:N31)</f>
        <v>127</v>
      </c>
      <c r="P31" s="69" t="s">
        <v>62</v>
      </c>
      <c r="Q31" s="14"/>
      <c r="R31" s="132">
        <f>+H31/G31</f>
        <v>0</v>
      </c>
      <c r="S31" s="228" t="s">
        <v>124</v>
      </c>
      <c r="T31" s="7">
        <v>2007</v>
      </c>
      <c r="U31" s="284">
        <v>0.2</v>
      </c>
      <c r="V31" s="356">
        <f>G31*(1+U31)</f>
        <v>600000</v>
      </c>
      <c r="W31" s="360">
        <v>0</v>
      </c>
      <c r="X31" s="314">
        <v>1</v>
      </c>
      <c r="Y31" s="320" t="s">
        <v>152</v>
      </c>
    </row>
    <row r="32" spans="1:25" ht="12.75">
      <c r="A32" s="167" t="s">
        <v>42</v>
      </c>
      <c r="B32" s="248" t="s">
        <v>52</v>
      </c>
      <c r="C32" s="179">
        <v>1334862</v>
      </c>
      <c r="D32" s="33">
        <v>33640</v>
      </c>
      <c r="E32" s="33"/>
      <c r="F32" s="166" t="s">
        <v>156</v>
      </c>
      <c r="G32" s="98">
        <f>IF(A32="X",C32,0)</f>
        <v>1334862</v>
      </c>
      <c r="H32" s="109">
        <f>IF(A32="X",D32,0)</f>
        <v>33640</v>
      </c>
      <c r="I32" s="98">
        <f>IF(A32="X",G32,0)</f>
        <v>1334862</v>
      </c>
      <c r="J32" s="229">
        <v>19</v>
      </c>
      <c r="K32" s="147">
        <v>14</v>
      </c>
      <c r="L32" s="147">
        <v>36</v>
      </c>
      <c r="M32" s="147">
        <v>44</v>
      </c>
      <c r="N32" s="14">
        <v>13</v>
      </c>
      <c r="O32" s="150">
        <f>SUM(K32:N32)</f>
        <v>107</v>
      </c>
      <c r="P32" s="69" t="s">
        <v>61</v>
      </c>
      <c r="Q32" s="14"/>
      <c r="R32" s="132">
        <f>+H32/G32</f>
        <v>0.02520110693090372</v>
      </c>
      <c r="S32" s="228">
        <f>+Sheet3!W37</f>
        <v>0.08679989571968513</v>
      </c>
      <c r="T32" s="7">
        <v>2009</v>
      </c>
      <c r="U32" s="284">
        <v>0.2</v>
      </c>
      <c r="V32" s="356">
        <f>G32*(1+U32)</f>
        <v>1601834.4</v>
      </c>
      <c r="W32" s="360">
        <v>0</v>
      </c>
      <c r="X32" s="314">
        <v>8</v>
      </c>
      <c r="Y32" s="320" t="s">
        <v>153</v>
      </c>
    </row>
    <row r="33" spans="1:25" ht="12.75">
      <c r="A33" s="167" t="s">
        <v>42</v>
      </c>
      <c r="B33" s="151" t="s">
        <v>10</v>
      </c>
      <c r="C33" s="1">
        <v>5075</v>
      </c>
      <c r="D33" s="31">
        <v>543</v>
      </c>
      <c r="E33" s="166"/>
      <c r="F33" s="166" t="s">
        <v>157</v>
      </c>
      <c r="G33" s="98">
        <f>IF(A33="X",C33,0)</f>
        <v>5075</v>
      </c>
      <c r="H33" s="109">
        <f>IF(A33="X",D33,0)</f>
        <v>543</v>
      </c>
      <c r="I33" s="98">
        <f>IF(A33="X",G33,0)</f>
        <v>5075</v>
      </c>
      <c r="J33" s="229">
        <v>20</v>
      </c>
      <c r="K33" s="147">
        <v>5</v>
      </c>
      <c r="L33" s="147">
        <v>18</v>
      </c>
      <c r="M33" s="147">
        <v>23</v>
      </c>
      <c r="N33" s="14">
        <v>14</v>
      </c>
      <c r="O33" s="150">
        <f>SUM(K33:N33)</f>
        <v>60</v>
      </c>
      <c r="P33" s="69" t="s">
        <v>59</v>
      </c>
      <c r="Q33" s="150">
        <f>G33/H33</f>
        <v>9.34622467771639</v>
      </c>
      <c r="R33" s="132">
        <f>+H33/G33</f>
        <v>0.10699507389162562</v>
      </c>
      <c r="S33" s="228">
        <f>+Sheet3!W34</f>
        <v>0.1969958788630597</v>
      </c>
      <c r="T33" s="7">
        <v>2006</v>
      </c>
      <c r="U33" s="284">
        <v>1</v>
      </c>
      <c r="V33" s="356">
        <f>G33*(1+U33)</f>
        <v>10150</v>
      </c>
      <c r="W33" s="360">
        <v>1</v>
      </c>
      <c r="X33" s="314">
        <v>1</v>
      </c>
      <c r="Y33" s="320" t="s">
        <v>153</v>
      </c>
    </row>
    <row r="34" spans="1:25" ht="13.5" thickBot="1">
      <c r="A34" s="207" t="s">
        <v>42</v>
      </c>
      <c r="B34" s="226" t="s">
        <v>125</v>
      </c>
      <c r="C34" s="182">
        <v>436295</v>
      </c>
      <c r="D34" s="183">
        <v>8619</v>
      </c>
      <c r="E34" s="184"/>
      <c r="F34" s="184" t="s">
        <v>157</v>
      </c>
      <c r="G34" s="346">
        <f>IF(A34="X",C34,0)</f>
        <v>436295</v>
      </c>
      <c r="H34" s="346">
        <f>IF(A34="X",D34,0)</f>
        <v>8619</v>
      </c>
      <c r="I34" s="364">
        <f>IF(A34="X",100000,0)</f>
        <v>100000</v>
      </c>
      <c r="J34" s="186">
        <v>21</v>
      </c>
      <c r="K34" s="365">
        <v>39</v>
      </c>
      <c r="L34" s="365">
        <v>42</v>
      </c>
      <c r="M34" s="365">
        <v>3</v>
      </c>
      <c r="N34" s="366">
        <v>41</v>
      </c>
      <c r="O34" s="367">
        <f>SUM(K34:N34)</f>
        <v>125</v>
      </c>
      <c r="P34" s="352" t="s">
        <v>60</v>
      </c>
      <c r="Q34" s="368"/>
      <c r="R34" s="256">
        <f>+H34/G34</f>
        <v>0.019754982294090007</v>
      </c>
      <c r="S34" s="256">
        <f>+Sheet3!W24</f>
        <v>-0.045193777824738976</v>
      </c>
      <c r="T34" s="369">
        <v>2006</v>
      </c>
      <c r="U34" s="287">
        <v>0.2</v>
      </c>
      <c r="V34" s="321">
        <f>G34*(1+U34)</f>
        <v>523554</v>
      </c>
      <c r="W34" s="319">
        <v>0</v>
      </c>
      <c r="X34" s="319">
        <v>2</v>
      </c>
      <c r="Y34" s="320" t="s">
        <v>153</v>
      </c>
    </row>
    <row r="35" spans="1:25" ht="13.5" thickBot="1">
      <c r="A35" s="9"/>
      <c r="B35" s="244"/>
      <c r="C35" s="243"/>
      <c r="D35" s="184"/>
      <c r="E35" s="184" t="s">
        <v>134</v>
      </c>
      <c r="F35" s="184"/>
      <c r="G35" s="185">
        <f>SUM(G18:G34)</f>
        <v>5752895</v>
      </c>
      <c r="H35" s="185">
        <f>SUM(H18:H34)</f>
        <v>104370</v>
      </c>
      <c r="I35" s="185">
        <f>SUM(I18:I34)</f>
        <v>4916600</v>
      </c>
      <c r="J35" s="186"/>
      <c r="K35" s="159"/>
      <c r="L35" s="159"/>
      <c r="M35" s="159"/>
      <c r="N35" s="17"/>
      <c r="O35" s="187"/>
      <c r="P35" s="188"/>
      <c r="Q35" s="18"/>
      <c r="R35" s="140"/>
      <c r="S35" s="256"/>
      <c r="T35" s="9"/>
      <c r="U35" s="261"/>
      <c r="V35" s="322">
        <f>SUM(V18:V34)</f>
        <v>8005547.510000002</v>
      </c>
      <c r="W35" s="323"/>
      <c r="X35" s="323"/>
      <c r="Y35" s="324"/>
    </row>
    <row r="36" spans="1:25" s="14" customFormat="1" ht="12.75">
      <c r="A36" s="147"/>
      <c r="B36" s="215"/>
      <c r="C36" s="179"/>
      <c r="D36" s="33"/>
      <c r="E36" s="33"/>
      <c r="F36" s="33"/>
      <c r="G36" s="109"/>
      <c r="H36" s="109"/>
      <c r="I36" s="216"/>
      <c r="J36" s="212"/>
      <c r="K36" s="147"/>
      <c r="L36" s="147"/>
      <c r="M36" s="147"/>
      <c r="O36" s="150"/>
      <c r="P36" s="213"/>
      <c r="R36" s="214"/>
      <c r="S36" s="228"/>
      <c r="T36" s="147"/>
      <c r="U36" s="147"/>
      <c r="V36" s="332"/>
      <c r="W36" s="294"/>
      <c r="X36" s="294"/>
      <c r="Y36" s="296"/>
    </row>
    <row r="37" spans="1:25" s="14" customFormat="1" ht="12.75">
      <c r="A37" s="147"/>
      <c r="B37" s="190" t="s">
        <v>129</v>
      </c>
      <c r="C37"/>
      <c r="D37" s="127"/>
      <c r="E37" t="s">
        <v>128</v>
      </c>
      <c r="F37"/>
      <c r="G37" s="109"/>
      <c r="H37" s="109"/>
      <c r="I37" s="216"/>
      <c r="J37" s="212"/>
      <c r="K37" s="147"/>
      <c r="L37" s="147"/>
      <c r="M37" s="147"/>
      <c r="O37" s="150"/>
      <c r="P37" s="213"/>
      <c r="R37" s="214"/>
      <c r="S37" s="228"/>
      <c r="T37" s="147"/>
      <c r="U37" s="147"/>
      <c r="V37" s="332"/>
      <c r="W37" s="294"/>
      <c r="X37" s="294"/>
      <c r="Y37" s="296"/>
    </row>
    <row r="38" spans="1:25" s="14" customFormat="1" ht="12.75">
      <c r="A38" s="147"/>
      <c r="B38" s="189"/>
      <c r="C38" s="127"/>
      <c r="D38"/>
      <c r="E38" t="s">
        <v>130</v>
      </c>
      <c r="F38"/>
      <c r="G38" s="109"/>
      <c r="H38" s="109"/>
      <c r="I38" s="216"/>
      <c r="J38" s="212"/>
      <c r="K38" s="147"/>
      <c r="L38" s="147"/>
      <c r="M38" s="147"/>
      <c r="O38" s="150"/>
      <c r="P38" s="213"/>
      <c r="R38" s="214"/>
      <c r="S38" s="228"/>
      <c r="T38" s="147"/>
      <c r="U38" s="147"/>
      <c r="V38" s="332"/>
      <c r="W38" s="294"/>
      <c r="X38" s="294"/>
      <c r="Y38" s="296"/>
    </row>
    <row r="39" spans="1:25" s="14" customFormat="1" ht="12.75">
      <c r="A39" s="147"/>
      <c r="B39" s="43" t="s">
        <v>159</v>
      </c>
      <c r="C39" s="127"/>
      <c r="D39"/>
      <c r="E39" t="s">
        <v>163</v>
      </c>
      <c r="F39"/>
      <c r="G39" s="109"/>
      <c r="H39" s="109"/>
      <c r="I39" s="216"/>
      <c r="J39" s="212"/>
      <c r="K39" s="147"/>
      <c r="L39" s="147"/>
      <c r="M39" s="147"/>
      <c r="O39" s="150"/>
      <c r="P39" s="213"/>
      <c r="R39" s="214"/>
      <c r="S39" s="228"/>
      <c r="T39" s="147"/>
      <c r="U39" s="147"/>
      <c r="V39" s="332"/>
      <c r="W39" s="294"/>
      <c r="X39" s="294"/>
      <c r="Y39" s="296"/>
    </row>
    <row r="40" spans="1:25" s="14" customFormat="1" ht="12.75">
      <c r="A40" s="147"/>
      <c r="B40" s="43" t="s">
        <v>160</v>
      </c>
      <c r="C40" s="127"/>
      <c r="D40"/>
      <c r="E40" t="s">
        <v>164</v>
      </c>
      <c r="F40"/>
      <c r="G40" s="109"/>
      <c r="H40" s="109"/>
      <c r="I40" s="216"/>
      <c r="J40" s="212"/>
      <c r="K40" s="147"/>
      <c r="L40" s="147"/>
      <c r="M40" s="147"/>
      <c r="O40" s="150"/>
      <c r="P40" s="213"/>
      <c r="R40" s="214"/>
      <c r="S40" s="228"/>
      <c r="T40" s="147"/>
      <c r="U40" s="147"/>
      <c r="V40" s="332"/>
      <c r="W40" s="294"/>
      <c r="X40" s="294"/>
      <c r="Y40" s="296"/>
    </row>
    <row r="41" spans="1:25" s="14" customFormat="1" ht="12.75">
      <c r="A41" s="147"/>
      <c r="B41" s="43" t="s">
        <v>161</v>
      </c>
      <c r="C41" s="127"/>
      <c r="D41"/>
      <c r="E41" t="s">
        <v>162</v>
      </c>
      <c r="F41"/>
      <c r="G41" s="109"/>
      <c r="H41" s="109"/>
      <c r="I41" s="216"/>
      <c r="J41" s="212"/>
      <c r="K41" s="147"/>
      <c r="L41" s="147"/>
      <c r="M41" s="147"/>
      <c r="O41" s="150"/>
      <c r="P41" s="213"/>
      <c r="R41" s="214"/>
      <c r="S41" s="228"/>
      <c r="T41" s="147"/>
      <c r="U41" s="147"/>
      <c r="V41" s="332"/>
      <c r="W41" s="294"/>
      <c r="X41" s="294"/>
      <c r="Y41" s="296"/>
    </row>
    <row r="42" spans="1:25" s="14" customFormat="1" ht="16.5" thickBot="1">
      <c r="A42" s="167"/>
      <c r="B42" s="211" t="s">
        <v>135</v>
      </c>
      <c r="C42" s="179"/>
      <c r="D42" s="33"/>
      <c r="E42" s="33"/>
      <c r="F42" s="33"/>
      <c r="G42" s="109"/>
      <c r="H42" s="109"/>
      <c r="I42" s="216"/>
      <c r="J42" s="212"/>
      <c r="K42" s="147"/>
      <c r="L42" s="147"/>
      <c r="M42" s="147"/>
      <c r="O42" s="150"/>
      <c r="P42" s="213"/>
      <c r="R42" s="214"/>
      <c r="S42" s="228"/>
      <c r="T42" s="147"/>
      <c r="U42" s="159"/>
      <c r="V42" s="333"/>
      <c r="W42" s="334"/>
      <c r="X42" s="294"/>
      <c r="Y42" s="296"/>
    </row>
    <row r="43" spans="1:25" ht="12.75">
      <c r="A43" s="167" t="s">
        <v>42</v>
      </c>
      <c r="B43" s="241" t="s">
        <v>21</v>
      </c>
      <c r="C43" s="233">
        <v>193481</v>
      </c>
      <c r="D43" s="234">
        <v>4521</v>
      </c>
      <c r="E43" s="235"/>
      <c r="F43" s="235" t="s">
        <v>156</v>
      </c>
      <c r="G43" s="236">
        <f aca="true" t="shared" si="7" ref="G43:G70">IF(A43="X",C43,0)</f>
        <v>193481</v>
      </c>
      <c r="H43" s="246">
        <f aca="true" t="shared" si="8" ref="H43:H69">IF(A43="X",D43,0)</f>
        <v>4521</v>
      </c>
      <c r="I43" s="236">
        <f>IF(A43="X",G43,0)</f>
        <v>193481</v>
      </c>
      <c r="J43" s="247">
        <f>SUM(J34+1)</f>
        <v>22</v>
      </c>
      <c r="K43" s="145">
        <v>18</v>
      </c>
      <c r="L43" s="145">
        <v>23</v>
      </c>
      <c r="M43" s="145">
        <v>17</v>
      </c>
      <c r="N43" s="146">
        <v>7</v>
      </c>
      <c r="O43" s="239">
        <f aca="true" t="shared" si="9" ref="O43:O48">SUM(K43:N43)</f>
        <v>65</v>
      </c>
      <c r="P43" s="240" t="s">
        <v>61</v>
      </c>
      <c r="Q43" s="146"/>
      <c r="R43" s="223">
        <f aca="true" t="shared" si="10" ref="R43:R70">+H43/G43</f>
        <v>0.023366635483587535</v>
      </c>
      <c r="S43" s="257">
        <f>+Sheet3!W25</f>
        <v>0.08347783469019028</v>
      </c>
      <c r="T43" s="6">
        <v>2009</v>
      </c>
      <c r="U43" s="283">
        <v>0.2</v>
      </c>
      <c r="V43" s="355">
        <f>G43*(1+U43)</f>
        <v>232177.19999999998</v>
      </c>
      <c r="W43" s="359">
        <v>0</v>
      </c>
      <c r="X43" s="358">
        <v>1</v>
      </c>
      <c r="Y43" s="317" t="s">
        <v>152</v>
      </c>
    </row>
    <row r="44" spans="1:25" ht="12.75">
      <c r="A44" s="167" t="s">
        <v>42</v>
      </c>
      <c r="B44" s="151" t="s">
        <v>24</v>
      </c>
      <c r="C44" s="1">
        <v>76010</v>
      </c>
      <c r="D44" s="31">
        <v>1115</v>
      </c>
      <c r="E44" s="166"/>
      <c r="F44" s="166" t="s">
        <v>156</v>
      </c>
      <c r="G44" s="98">
        <f t="shared" si="7"/>
        <v>76010</v>
      </c>
      <c r="H44" s="109">
        <f t="shared" si="8"/>
        <v>1115</v>
      </c>
      <c r="I44" s="98">
        <f>IF(A44="X",G44,0)</f>
        <v>76010</v>
      </c>
      <c r="J44" s="229">
        <v>23</v>
      </c>
      <c r="K44" s="147">
        <v>20</v>
      </c>
      <c r="L44" s="147">
        <v>39</v>
      </c>
      <c r="M44" s="147">
        <v>27</v>
      </c>
      <c r="N44" s="154">
        <v>26</v>
      </c>
      <c r="O44" s="150">
        <f t="shared" si="9"/>
        <v>112</v>
      </c>
      <c r="P44" s="69" t="s">
        <v>65</v>
      </c>
      <c r="Q44" s="14"/>
      <c r="R44" s="132">
        <f t="shared" si="10"/>
        <v>0.0146691224838837</v>
      </c>
      <c r="S44" s="228">
        <f>+Sheet3!W27</f>
        <v>0.0664849966118064</v>
      </c>
      <c r="T44" s="7">
        <v>2011</v>
      </c>
      <c r="U44" s="284">
        <f>V44/G44-1</f>
        <v>0.6578081831337981</v>
      </c>
      <c r="V44" s="356">
        <f>I44+50000</f>
        <v>126010</v>
      </c>
      <c r="W44" s="360">
        <v>0</v>
      </c>
      <c r="X44" s="314">
        <v>4</v>
      </c>
      <c r="Y44" s="320" t="s">
        <v>153</v>
      </c>
    </row>
    <row r="45" spans="1:25" ht="12.75">
      <c r="A45" s="167" t="s">
        <v>42</v>
      </c>
      <c r="B45" s="152" t="s">
        <v>28</v>
      </c>
      <c r="C45" s="1">
        <v>55719</v>
      </c>
      <c r="D45" s="31">
        <v>1464</v>
      </c>
      <c r="E45" s="166"/>
      <c r="F45" s="166" t="s">
        <v>157</v>
      </c>
      <c r="G45" s="98">
        <f t="shared" si="7"/>
        <v>55719</v>
      </c>
      <c r="H45" s="109">
        <f t="shared" si="8"/>
        <v>1464</v>
      </c>
      <c r="I45" s="98">
        <f>IF(A45="X",G45,0)</f>
        <v>55719</v>
      </c>
      <c r="J45" s="229">
        <f aca="true" t="shared" si="11" ref="J45:J69">SUM(J44+1)</f>
        <v>24</v>
      </c>
      <c r="K45" s="147">
        <v>8</v>
      </c>
      <c r="L45" s="147">
        <v>31</v>
      </c>
      <c r="M45" s="147">
        <v>15</v>
      </c>
      <c r="N45" s="14">
        <v>33</v>
      </c>
      <c r="O45" s="150">
        <f t="shared" si="9"/>
        <v>87</v>
      </c>
      <c r="P45" s="69" t="s">
        <v>67</v>
      </c>
      <c r="Q45" s="14"/>
      <c r="R45" s="132">
        <f t="shared" si="10"/>
        <v>0.026274699833091046</v>
      </c>
      <c r="S45" s="228">
        <f>+Sheet3!W28</f>
        <v>0.0887088494891711</v>
      </c>
      <c r="T45" s="7">
        <v>2006</v>
      </c>
      <c r="U45" s="284">
        <v>0.2</v>
      </c>
      <c r="V45" s="356">
        <f>G45*(1+U45)</f>
        <v>66862.8</v>
      </c>
      <c r="W45" s="360">
        <v>0</v>
      </c>
      <c r="X45" s="314">
        <v>2</v>
      </c>
      <c r="Y45" s="320" t="s">
        <v>153</v>
      </c>
    </row>
    <row r="46" spans="1:25" ht="12.75">
      <c r="A46" s="167" t="s">
        <v>42</v>
      </c>
      <c r="B46" s="151" t="s">
        <v>14</v>
      </c>
      <c r="C46" s="1">
        <v>10334</v>
      </c>
      <c r="D46" s="31">
        <v>5244</v>
      </c>
      <c r="E46" s="166"/>
      <c r="F46" s="166" t="s">
        <v>157</v>
      </c>
      <c r="G46" s="98">
        <f t="shared" si="7"/>
        <v>10334</v>
      </c>
      <c r="H46" s="109">
        <f t="shared" si="8"/>
        <v>5244</v>
      </c>
      <c r="I46" s="104">
        <v>0</v>
      </c>
      <c r="J46" s="229">
        <f t="shared" si="11"/>
        <v>25</v>
      </c>
      <c r="K46" s="147">
        <v>2</v>
      </c>
      <c r="L46" s="147">
        <v>25</v>
      </c>
      <c r="M46" s="147">
        <v>9</v>
      </c>
      <c r="N46" s="14">
        <v>35</v>
      </c>
      <c r="O46" s="150">
        <f t="shared" si="9"/>
        <v>71</v>
      </c>
      <c r="P46" s="69" t="s">
        <v>57</v>
      </c>
      <c r="Q46" s="150">
        <f>G46/H46</f>
        <v>1.9706331045003813</v>
      </c>
      <c r="R46" s="132">
        <f t="shared" si="10"/>
        <v>0.5074511321850204</v>
      </c>
      <c r="S46" s="228">
        <f>+Sheet3!W29</f>
        <v>0.5073126712574867</v>
      </c>
      <c r="T46" s="7" t="s">
        <v>124</v>
      </c>
      <c r="U46" s="284">
        <v>0</v>
      </c>
      <c r="V46" s="356">
        <f aca="true" t="shared" si="12" ref="V46:V67">G46*(1+U46)</f>
        <v>10334</v>
      </c>
      <c r="W46" s="360"/>
      <c r="X46" s="314"/>
      <c r="Y46" s="320"/>
    </row>
    <row r="47" spans="1:25" ht="12.75">
      <c r="A47" s="167" t="s">
        <v>42</v>
      </c>
      <c r="B47" s="151" t="s">
        <v>13</v>
      </c>
      <c r="C47" s="1">
        <v>6231</v>
      </c>
      <c r="D47" s="31">
        <v>2000</v>
      </c>
      <c r="E47" s="166"/>
      <c r="F47" s="166" t="s">
        <v>157</v>
      </c>
      <c r="G47" s="98">
        <f t="shared" si="7"/>
        <v>6231</v>
      </c>
      <c r="H47" s="109">
        <f t="shared" si="8"/>
        <v>2000</v>
      </c>
      <c r="I47" s="98">
        <f>IF(A47="X",G47,0)</f>
        <v>6231</v>
      </c>
      <c r="J47" s="229">
        <f t="shared" si="11"/>
        <v>26</v>
      </c>
      <c r="K47" s="147">
        <v>3</v>
      </c>
      <c r="L47" s="147">
        <v>21</v>
      </c>
      <c r="M47" s="147">
        <v>8</v>
      </c>
      <c r="N47" s="14">
        <v>51</v>
      </c>
      <c r="O47" s="150">
        <f t="shared" si="9"/>
        <v>83</v>
      </c>
      <c r="P47" s="69" t="s">
        <v>57</v>
      </c>
      <c r="Q47" s="150">
        <f>G47/H47</f>
        <v>3.1155</v>
      </c>
      <c r="R47" s="132">
        <f t="shared" si="10"/>
        <v>0.3209757663296421</v>
      </c>
      <c r="S47" s="228">
        <f>+Sheet3!W30</f>
        <v>0.40626184481124944</v>
      </c>
      <c r="T47" s="7" t="s">
        <v>124</v>
      </c>
      <c r="U47" s="284">
        <v>1</v>
      </c>
      <c r="V47" s="356">
        <f t="shared" si="12"/>
        <v>12462</v>
      </c>
      <c r="W47" s="360">
        <v>0</v>
      </c>
      <c r="X47" s="314">
        <v>1</v>
      </c>
      <c r="Y47" s="320" t="s">
        <v>152</v>
      </c>
    </row>
    <row r="48" spans="1:25" ht="12.75">
      <c r="A48" s="167" t="s">
        <v>42</v>
      </c>
      <c r="B48" s="151" t="s">
        <v>16</v>
      </c>
      <c r="C48" s="1">
        <v>15643</v>
      </c>
      <c r="D48" s="31">
        <v>2000</v>
      </c>
      <c r="E48" s="166"/>
      <c r="F48" s="166" t="s">
        <v>157</v>
      </c>
      <c r="G48" s="98">
        <f t="shared" si="7"/>
        <v>15643</v>
      </c>
      <c r="H48" s="109">
        <f t="shared" si="8"/>
        <v>2000</v>
      </c>
      <c r="I48" s="98">
        <f>IF(A48="X",G48,0)</f>
        <v>15643</v>
      </c>
      <c r="J48" s="229">
        <f t="shared" si="11"/>
        <v>27</v>
      </c>
      <c r="K48" s="147">
        <v>16</v>
      </c>
      <c r="L48" s="147">
        <v>26</v>
      </c>
      <c r="M48" s="147">
        <v>42</v>
      </c>
      <c r="N48" s="14">
        <v>2</v>
      </c>
      <c r="O48" s="150">
        <f t="shared" si="9"/>
        <v>86</v>
      </c>
      <c r="P48" s="69" t="s">
        <v>61</v>
      </c>
      <c r="Q48" s="14"/>
      <c r="R48" s="132">
        <f t="shared" si="10"/>
        <v>0.12785271367384773</v>
      </c>
      <c r="S48" s="228">
        <f>+Sheet3!W31</f>
        <v>0.21980538768219712</v>
      </c>
      <c r="T48" s="7">
        <v>2009</v>
      </c>
      <c r="U48" s="284">
        <v>0.4</v>
      </c>
      <c r="V48" s="356">
        <f t="shared" si="12"/>
        <v>21900.199999999997</v>
      </c>
      <c r="W48" s="360" t="s">
        <v>127</v>
      </c>
      <c r="X48" s="314" t="s">
        <v>127</v>
      </c>
      <c r="Y48" s="320" t="s">
        <v>127</v>
      </c>
    </row>
    <row r="49" spans="1:25" ht="12.75">
      <c r="A49" s="167" t="s">
        <v>42</v>
      </c>
      <c r="B49" s="151" t="s">
        <v>82</v>
      </c>
      <c r="C49" s="1">
        <v>144786</v>
      </c>
      <c r="D49" s="31">
        <v>2069</v>
      </c>
      <c r="E49" s="166"/>
      <c r="F49" s="166" t="s">
        <v>156</v>
      </c>
      <c r="G49" s="98">
        <f t="shared" si="7"/>
        <v>144786</v>
      </c>
      <c r="H49" s="109">
        <f t="shared" si="8"/>
        <v>2069</v>
      </c>
      <c r="I49" s="104">
        <v>0</v>
      </c>
      <c r="J49" s="229">
        <f t="shared" si="11"/>
        <v>28</v>
      </c>
      <c r="K49" s="147"/>
      <c r="L49" s="147"/>
      <c r="M49" s="147"/>
      <c r="N49" s="14"/>
      <c r="O49" s="150"/>
      <c r="P49" s="69" t="s">
        <v>71</v>
      </c>
      <c r="Q49" s="14"/>
      <c r="R49" s="132">
        <f t="shared" si="10"/>
        <v>0.014290055668365727</v>
      </c>
      <c r="S49" s="228">
        <f>+Sheet3!W32</f>
        <v>-0.09790244884888163</v>
      </c>
      <c r="T49" s="7">
        <v>2009</v>
      </c>
      <c r="U49" s="284">
        <v>0</v>
      </c>
      <c r="V49" s="356">
        <f t="shared" si="12"/>
        <v>144786</v>
      </c>
      <c r="W49" s="360"/>
      <c r="X49" s="314"/>
      <c r="Y49" s="320"/>
    </row>
    <row r="50" spans="1:25" ht="12.75">
      <c r="A50" s="167" t="s">
        <v>42</v>
      </c>
      <c r="B50" s="151" t="s">
        <v>12</v>
      </c>
      <c r="C50" s="1">
        <v>20833</v>
      </c>
      <c r="D50" s="31">
        <v>2500</v>
      </c>
      <c r="E50" s="166"/>
      <c r="F50" s="166" t="s">
        <v>157</v>
      </c>
      <c r="G50" s="98">
        <f t="shared" si="7"/>
        <v>20833</v>
      </c>
      <c r="H50" s="109">
        <f t="shared" si="8"/>
        <v>2500</v>
      </c>
      <c r="I50" s="98">
        <f>IF(A50="X",G50,0)</f>
        <v>20833</v>
      </c>
      <c r="J50" s="229">
        <f t="shared" si="11"/>
        <v>29</v>
      </c>
      <c r="K50" s="147">
        <v>4</v>
      </c>
      <c r="L50" s="147">
        <v>9</v>
      </c>
      <c r="M50" s="147">
        <v>13</v>
      </c>
      <c r="N50" s="14">
        <v>15</v>
      </c>
      <c r="O50" s="150">
        <f aca="true" t="shared" si="13" ref="O50:O70">SUM(K50:N50)</f>
        <v>41</v>
      </c>
      <c r="P50" s="69" t="s">
        <v>57</v>
      </c>
      <c r="Q50" s="150">
        <f>G50/H50</f>
        <v>8.3332</v>
      </c>
      <c r="R50" s="132">
        <f t="shared" si="10"/>
        <v>0.1200019200307205</v>
      </c>
      <c r="S50" s="228">
        <f>+Sheet3!W33</f>
        <v>0.21134635052261277</v>
      </c>
      <c r="T50" s="7">
        <v>2015</v>
      </c>
      <c r="U50" s="284">
        <v>0</v>
      </c>
      <c r="V50" s="356">
        <f t="shared" si="12"/>
        <v>20833</v>
      </c>
      <c r="W50" s="360"/>
      <c r="X50" s="314"/>
      <c r="Y50" s="320"/>
    </row>
    <row r="51" spans="1:25" ht="12.75">
      <c r="A51" s="167" t="s">
        <v>42</v>
      </c>
      <c r="B51" s="205" t="s">
        <v>6</v>
      </c>
      <c r="C51" s="45">
        <v>465375</v>
      </c>
      <c r="D51" s="46">
        <v>49212</v>
      </c>
      <c r="E51" s="166"/>
      <c r="F51" s="166" t="s">
        <v>156</v>
      </c>
      <c r="G51" s="98">
        <f t="shared" si="7"/>
        <v>465375</v>
      </c>
      <c r="H51" s="109">
        <f t="shared" si="8"/>
        <v>49212</v>
      </c>
      <c r="I51" s="104">
        <v>0</v>
      </c>
      <c r="J51" s="229">
        <f t="shared" si="11"/>
        <v>30</v>
      </c>
      <c r="K51" s="147">
        <v>6</v>
      </c>
      <c r="L51" s="147">
        <v>30</v>
      </c>
      <c r="M51" s="147">
        <v>14</v>
      </c>
      <c r="N51" s="14">
        <v>17</v>
      </c>
      <c r="O51" s="150">
        <f t="shared" si="13"/>
        <v>67</v>
      </c>
      <c r="P51" s="69" t="s">
        <v>57</v>
      </c>
      <c r="Q51" s="150">
        <f>G51/H51</f>
        <v>9.456534991465496</v>
      </c>
      <c r="R51" s="132">
        <f t="shared" si="10"/>
        <v>0.10574697824335214</v>
      </c>
      <c r="S51" s="228">
        <f>+Sheet3!W35</f>
        <v>0.08509875689699153</v>
      </c>
      <c r="T51" s="7">
        <v>2020</v>
      </c>
      <c r="U51" s="284">
        <v>0</v>
      </c>
      <c r="V51" s="356">
        <f t="shared" si="12"/>
        <v>465375</v>
      </c>
      <c r="W51" s="360"/>
      <c r="X51" s="314"/>
      <c r="Y51" s="320"/>
    </row>
    <row r="52" spans="1:25" ht="13.5" thickBot="1">
      <c r="A52" s="217" t="s">
        <v>42</v>
      </c>
      <c r="B52" s="248" t="s">
        <v>23</v>
      </c>
      <c r="C52" s="179">
        <v>18031</v>
      </c>
      <c r="D52" s="33">
        <v>500</v>
      </c>
      <c r="E52" s="33"/>
      <c r="F52" s="166" t="s">
        <v>156</v>
      </c>
      <c r="G52" s="98">
        <f t="shared" si="7"/>
        <v>18031</v>
      </c>
      <c r="H52" s="109">
        <f t="shared" si="8"/>
        <v>500</v>
      </c>
      <c r="I52" s="98">
        <f>IF(A52="X",G52,0)</f>
        <v>18031</v>
      </c>
      <c r="J52" s="229">
        <f t="shared" si="11"/>
        <v>31</v>
      </c>
      <c r="K52" s="147">
        <v>35</v>
      </c>
      <c r="L52" s="147">
        <v>34</v>
      </c>
      <c r="M52" s="147">
        <v>45</v>
      </c>
      <c r="N52" s="14">
        <v>8</v>
      </c>
      <c r="O52" s="150">
        <f t="shared" si="13"/>
        <v>122</v>
      </c>
      <c r="P52" s="69" t="s">
        <v>61</v>
      </c>
      <c r="Q52" s="14"/>
      <c r="R52" s="132">
        <f t="shared" si="10"/>
        <v>0.027730020520215184</v>
      </c>
      <c r="S52" s="228">
        <f>+Sheet3!W36</f>
        <v>0.09125751612477653</v>
      </c>
      <c r="T52" s="7">
        <v>2009</v>
      </c>
      <c r="U52" s="284">
        <v>0.2</v>
      </c>
      <c r="V52" s="356">
        <f t="shared" si="12"/>
        <v>21637.2</v>
      </c>
      <c r="W52" s="360">
        <v>1</v>
      </c>
      <c r="X52" s="314">
        <v>4</v>
      </c>
      <c r="Y52" s="320" t="s">
        <v>153</v>
      </c>
    </row>
    <row r="53" spans="1:25" ht="12.75">
      <c r="A53" s="167" t="s">
        <v>42</v>
      </c>
      <c r="B53" s="149" t="s">
        <v>31</v>
      </c>
      <c r="C53" s="21">
        <v>69846</v>
      </c>
      <c r="D53" s="30">
        <v>6097</v>
      </c>
      <c r="E53" s="166"/>
      <c r="F53" s="166" t="s">
        <v>158</v>
      </c>
      <c r="G53" s="98">
        <f t="shared" si="7"/>
        <v>69846</v>
      </c>
      <c r="H53" s="109">
        <f t="shared" si="8"/>
        <v>6097</v>
      </c>
      <c r="I53" s="104">
        <v>0</v>
      </c>
      <c r="J53" s="229">
        <f t="shared" si="11"/>
        <v>32</v>
      </c>
      <c r="K53" s="147">
        <v>7</v>
      </c>
      <c r="L53" s="147">
        <v>49</v>
      </c>
      <c r="M53" s="147">
        <v>19</v>
      </c>
      <c r="N53" s="14">
        <v>34</v>
      </c>
      <c r="O53" s="150">
        <f t="shared" si="13"/>
        <v>109</v>
      </c>
      <c r="P53" s="69" t="s">
        <v>57</v>
      </c>
      <c r="Q53" s="150">
        <f>G53/H53</f>
        <v>11.455797933409874</v>
      </c>
      <c r="R53" s="132">
        <f t="shared" si="10"/>
        <v>0.08729204249348567</v>
      </c>
      <c r="S53" s="228">
        <f>+Sheet3!W38</f>
        <v>0.0601518217026627</v>
      </c>
      <c r="T53" s="7" t="s">
        <v>124</v>
      </c>
      <c r="U53" s="284">
        <v>0</v>
      </c>
      <c r="V53" s="356">
        <f t="shared" si="12"/>
        <v>69846</v>
      </c>
      <c r="W53" s="360"/>
      <c r="X53" s="314"/>
      <c r="Y53" s="320"/>
    </row>
    <row r="54" spans="1:25" ht="12.75">
      <c r="A54" s="167" t="s">
        <v>42</v>
      </c>
      <c r="B54" s="151" t="s">
        <v>36</v>
      </c>
      <c r="C54" s="1">
        <v>25509</v>
      </c>
      <c r="D54" s="31">
        <v>15098</v>
      </c>
      <c r="E54" s="166"/>
      <c r="F54" s="166" t="s">
        <v>158</v>
      </c>
      <c r="G54" s="98">
        <f t="shared" si="7"/>
        <v>25509</v>
      </c>
      <c r="H54" s="109">
        <f t="shared" si="8"/>
        <v>15098</v>
      </c>
      <c r="I54" s="104">
        <v>0</v>
      </c>
      <c r="J54" s="229">
        <f t="shared" si="11"/>
        <v>33</v>
      </c>
      <c r="K54" s="147">
        <v>24</v>
      </c>
      <c r="L54" s="147">
        <v>48</v>
      </c>
      <c r="M54" s="147">
        <v>2</v>
      </c>
      <c r="N54" s="14">
        <v>45</v>
      </c>
      <c r="O54" s="150">
        <f t="shared" si="13"/>
        <v>119</v>
      </c>
      <c r="P54" s="69" t="s">
        <v>64</v>
      </c>
      <c r="Q54" s="14"/>
      <c r="R54" s="132">
        <f t="shared" si="10"/>
        <v>0.5918695362421106</v>
      </c>
      <c r="S54" s="228">
        <f>+Sheet3!W41</f>
        <v>0.5918152896387427</v>
      </c>
      <c r="T54" s="7" t="s">
        <v>124</v>
      </c>
      <c r="U54" s="284">
        <v>0</v>
      </c>
      <c r="V54" s="356">
        <f t="shared" si="12"/>
        <v>25509</v>
      </c>
      <c r="W54" s="360"/>
      <c r="X54" s="314"/>
      <c r="Y54" s="320"/>
    </row>
    <row r="55" spans="1:25" ht="12.75">
      <c r="A55" s="167" t="s">
        <v>42</v>
      </c>
      <c r="B55" s="151" t="s">
        <v>33</v>
      </c>
      <c r="C55" s="1">
        <v>541391</v>
      </c>
      <c r="D55" s="31">
        <v>7500</v>
      </c>
      <c r="E55" s="166"/>
      <c r="F55" s="166" t="s">
        <v>158</v>
      </c>
      <c r="G55" s="98">
        <f t="shared" si="7"/>
        <v>541391</v>
      </c>
      <c r="H55" s="109">
        <f t="shared" si="8"/>
        <v>7500</v>
      </c>
      <c r="I55" s="98">
        <f>IF(A55="X",G55,0)</f>
        <v>541391</v>
      </c>
      <c r="J55" s="229">
        <f t="shared" si="11"/>
        <v>34</v>
      </c>
      <c r="K55" s="147">
        <v>37</v>
      </c>
      <c r="L55" s="147">
        <v>37</v>
      </c>
      <c r="M55" s="147">
        <v>10</v>
      </c>
      <c r="N55" s="14">
        <v>47</v>
      </c>
      <c r="O55" s="150">
        <f t="shared" si="13"/>
        <v>131</v>
      </c>
      <c r="P55" s="69" t="s">
        <v>68</v>
      </c>
      <c r="Q55" s="14"/>
      <c r="R55" s="132">
        <f t="shared" si="10"/>
        <v>0.013853204061390012</v>
      </c>
      <c r="S55" s="228">
        <f>+Sheet3!W42</f>
        <v>0.06476366139786024</v>
      </c>
      <c r="T55" s="7">
        <v>2007</v>
      </c>
      <c r="U55" s="284">
        <v>0.2</v>
      </c>
      <c r="V55" s="356">
        <f t="shared" si="12"/>
        <v>649669.2</v>
      </c>
      <c r="W55" s="360" t="s">
        <v>127</v>
      </c>
      <c r="X55" s="314" t="s">
        <v>127</v>
      </c>
      <c r="Y55" s="320" t="s">
        <v>127</v>
      </c>
    </row>
    <row r="56" spans="1:25" ht="12.75">
      <c r="A56" s="167" t="s">
        <v>42</v>
      </c>
      <c r="B56" s="151" t="s">
        <v>8</v>
      </c>
      <c r="C56" s="1">
        <v>77134</v>
      </c>
      <c r="D56" s="31">
        <v>500</v>
      </c>
      <c r="E56" s="166"/>
      <c r="F56" s="166" t="s">
        <v>158</v>
      </c>
      <c r="G56" s="98">
        <f t="shared" si="7"/>
        <v>77134</v>
      </c>
      <c r="H56" s="109">
        <f t="shared" si="8"/>
        <v>500</v>
      </c>
      <c r="I56" s="98">
        <f>IF(A56="X",G56,0)</f>
        <v>77134</v>
      </c>
      <c r="J56" s="229">
        <f t="shared" si="11"/>
        <v>35</v>
      </c>
      <c r="K56" s="147">
        <v>30</v>
      </c>
      <c r="L56" s="147">
        <v>14</v>
      </c>
      <c r="M56" s="147">
        <v>34</v>
      </c>
      <c r="N56" s="14">
        <v>43</v>
      </c>
      <c r="O56" s="150">
        <f t="shared" si="13"/>
        <v>121</v>
      </c>
      <c r="P56" s="69" t="s">
        <v>66</v>
      </c>
      <c r="Q56" s="14"/>
      <c r="R56" s="132">
        <f t="shared" si="10"/>
        <v>0.0064822257370290666</v>
      </c>
      <c r="S56" s="228">
        <f>+Sheet3!W43</f>
        <v>0.04784105053154954</v>
      </c>
      <c r="T56" s="7">
        <v>2011</v>
      </c>
      <c r="U56" s="284">
        <v>0</v>
      </c>
      <c r="V56" s="356">
        <f t="shared" si="12"/>
        <v>77134</v>
      </c>
      <c r="W56" s="360"/>
      <c r="X56" s="314"/>
      <c r="Y56" s="320"/>
    </row>
    <row r="57" spans="1:25" ht="12.75">
      <c r="A57" s="167" t="s">
        <v>42</v>
      </c>
      <c r="B57" s="151" t="s">
        <v>17</v>
      </c>
      <c r="C57" s="1">
        <v>293398</v>
      </c>
      <c r="D57" s="31">
        <v>1214</v>
      </c>
      <c r="E57" s="166"/>
      <c r="F57" s="166" t="s">
        <v>158</v>
      </c>
      <c r="G57" s="98">
        <f t="shared" si="7"/>
        <v>293398</v>
      </c>
      <c r="H57" s="109">
        <f t="shared" si="8"/>
        <v>1214</v>
      </c>
      <c r="I57" s="104">
        <v>0</v>
      </c>
      <c r="J57" s="229">
        <f t="shared" si="11"/>
        <v>36</v>
      </c>
      <c r="K57" s="147">
        <v>36</v>
      </c>
      <c r="L57" s="147">
        <v>43</v>
      </c>
      <c r="M57" s="147">
        <v>18</v>
      </c>
      <c r="N57" s="14">
        <v>18</v>
      </c>
      <c r="O57" s="150">
        <f t="shared" si="13"/>
        <v>115</v>
      </c>
      <c r="P57" s="69" t="s">
        <v>62</v>
      </c>
      <c r="Q57" s="14"/>
      <c r="R57" s="132">
        <f t="shared" si="10"/>
        <v>0.004137724183532266</v>
      </c>
      <c r="S57" s="228">
        <f>+Sheet3!W44</f>
        <v>-0.17071338114543264</v>
      </c>
      <c r="T57" s="7" t="s">
        <v>124</v>
      </c>
      <c r="U57" s="284">
        <v>0</v>
      </c>
      <c r="V57" s="356">
        <f t="shared" si="12"/>
        <v>293398</v>
      </c>
      <c r="W57" s="360"/>
      <c r="X57" s="314"/>
      <c r="Y57" s="320"/>
    </row>
    <row r="58" spans="1:25" ht="12.75">
      <c r="A58" s="207" t="s">
        <v>42</v>
      </c>
      <c r="B58" s="152" t="s">
        <v>38</v>
      </c>
      <c r="C58" s="1">
        <v>1617630</v>
      </c>
      <c r="D58" s="31">
        <v>39023</v>
      </c>
      <c r="E58" s="166"/>
      <c r="F58" s="166" t="s">
        <v>158</v>
      </c>
      <c r="G58" s="107">
        <f t="shared" si="7"/>
        <v>1617630</v>
      </c>
      <c r="H58" s="227">
        <f t="shared" si="8"/>
        <v>39023</v>
      </c>
      <c r="I58" s="108">
        <v>0</v>
      </c>
      <c r="J58" s="229">
        <f t="shared" si="11"/>
        <v>37</v>
      </c>
      <c r="K58" s="147">
        <v>49</v>
      </c>
      <c r="L58" s="147">
        <v>28</v>
      </c>
      <c r="M58" s="147">
        <v>5</v>
      </c>
      <c r="N58" s="14">
        <v>42</v>
      </c>
      <c r="O58" s="150">
        <f t="shared" si="13"/>
        <v>124</v>
      </c>
      <c r="P58" s="69" t="s">
        <v>72</v>
      </c>
      <c r="Q58" s="14"/>
      <c r="R58" s="132">
        <f t="shared" si="10"/>
        <v>0.024123563484851295</v>
      </c>
      <c r="S58" s="228">
        <f>+Sheet3!W45</f>
        <v>-0.06122141357320051</v>
      </c>
      <c r="T58" s="7" t="s">
        <v>124</v>
      </c>
      <c r="U58" s="284">
        <v>0</v>
      </c>
      <c r="V58" s="356">
        <f t="shared" si="12"/>
        <v>1617630</v>
      </c>
      <c r="W58" s="360"/>
      <c r="X58" s="314"/>
      <c r="Y58" s="320"/>
    </row>
    <row r="59" spans="1:25" ht="12.75">
      <c r="A59" s="167" t="s">
        <v>42</v>
      </c>
      <c r="B59" s="151" t="s">
        <v>37</v>
      </c>
      <c r="C59" s="204">
        <v>187123</v>
      </c>
      <c r="D59" s="31">
        <v>10144</v>
      </c>
      <c r="E59" s="166"/>
      <c r="F59" s="166" t="s">
        <v>158</v>
      </c>
      <c r="G59" s="98">
        <f t="shared" si="7"/>
        <v>187123</v>
      </c>
      <c r="H59" s="109">
        <f t="shared" si="8"/>
        <v>10144</v>
      </c>
      <c r="I59" s="104">
        <v>0</v>
      </c>
      <c r="J59" s="229">
        <f t="shared" si="11"/>
        <v>38</v>
      </c>
      <c r="K59" s="147">
        <v>34</v>
      </c>
      <c r="L59" s="147">
        <v>46</v>
      </c>
      <c r="M59" s="147">
        <v>25</v>
      </c>
      <c r="N59" s="14">
        <v>20</v>
      </c>
      <c r="O59" s="150">
        <f t="shared" si="13"/>
        <v>125</v>
      </c>
      <c r="P59" s="69" t="s">
        <v>64</v>
      </c>
      <c r="Q59" s="14"/>
      <c r="R59" s="132">
        <f t="shared" si="10"/>
        <v>0.05421033224135996</v>
      </c>
      <c r="S59" s="228">
        <f>+Sheet3!W46</f>
        <v>0.007826540692258997</v>
      </c>
      <c r="T59" s="7" t="s">
        <v>124</v>
      </c>
      <c r="U59" s="284">
        <v>0</v>
      </c>
      <c r="V59" s="356">
        <f t="shared" si="12"/>
        <v>187123</v>
      </c>
      <c r="W59" s="360"/>
      <c r="X59" s="314"/>
      <c r="Y59" s="320"/>
    </row>
    <row r="60" spans="1:25" ht="12.75">
      <c r="A60" s="167" t="s">
        <v>42</v>
      </c>
      <c r="B60" s="151" t="s">
        <v>7</v>
      </c>
      <c r="C60" s="1">
        <f>567402+10000</f>
        <v>577402</v>
      </c>
      <c r="D60" s="31">
        <v>42719.5</v>
      </c>
      <c r="E60" s="166"/>
      <c r="F60" s="166" t="s">
        <v>158</v>
      </c>
      <c r="G60" s="98">
        <f t="shared" si="7"/>
        <v>577402</v>
      </c>
      <c r="H60" s="109">
        <f t="shared" si="8"/>
        <v>42719.5</v>
      </c>
      <c r="I60" s="104">
        <v>0</v>
      </c>
      <c r="J60" s="229">
        <f t="shared" si="11"/>
        <v>39</v>
      </c>
      <c r="K60" s="147">
        <v>22</v>
      </c>
      <c r="L60" s="147">
        <v>17</v>
      </c>
      <c r="M60" s="147">
        <v>12</v>
      </c>
      <c r="N60" s="14">
        <v>36</v>
      </c>
      <c r="O60" s="150">
        <f t="shared" si="13"/>
        <v>87</v>
      </c>
      <c r="P60" s="69" t="s">
        <v>58</v>
      </c>
      <c r="Q60" s="150">
        <f>G60/H60</f>
        <v>13.516122613794638</v>
      </c>
      <c r="R60" s="132">
        <f t="shared" si="10"/>
        <v>0.07398571532485167</v>
      </c>
      <c r="S60" s="228">
        <f>+Sheet3!W47</f>
        <v>0.04061912888493041</v>
      </c>
      <c r="T60" s="7">
        <v>2020</v>
      </c>
      <c r="U60" s="284">
        <v>0</v>
      </c>
      <c r="V60" s="356">
        <f t="shared" si="12"/>
        <v>577402</v>
      </c>
      <c r="W60" s="360"/>
      <c r="X60" s="314"/>
      <c r="Y60" s="320"/>
    </row>
    <row r="61" spans="1:25" s="43" customFormat="1" ht="12.75">
      <c r="A61" s="167" t="s">
        <v>42</v>
      </c>
      <c r="B61" s="151" t="s">
        <v>9</v>
      </c>
      <c r="C61" s="1">
        <v>130023</v>
      </c>
      <c r="D61" s="31">
        <v>8214</v>
      </c>
      <c r="E61" s="166"/>
      <c r="F61" s="166" t="s">
        <v>158</v>
      </c>
      <c r="G61" s="98">
        <f t="shared" si="7"/>
        <v>130023</v>
      </c>
      <c r="H61" s="109">
        <f t="shared" si="8"/>
        <v>8214</v>
      </c>
      <c r="I61" s="104">
        <v>0</v>
      </c>
      <c r="J61" s="229">
        <f t="shared" si="11"/>
        <v>40</v>
      </c>
      <c r="K61" s="147">
        <v>9</v>
      </c>
      <c r="L61" s="147">
        <v>33</v>
      </c>
      <c r="M61" s="147">
        <v>22</v>
      </c>
      <c r="N61" s="14">
        <v>32</v>
      </c>
      <c r="O61" s="150">
        <f t="shared" si="13"/>
        <v>96</v>
      </c>
      <c r="P61" s="69" t="s">
        <v>58</v>
      </c>
      <c r="Q61" s="150">
        <f>G61/H61</f>
        <v>15.829437545653763</v>
      </c>
      <c r="R61" s="132">
        <f t="shared" si="10"/>
        <v>0.06317343854548811</v>
      </c>
      <c r="S61" s="228">
        <f>+Sheet3!W48</f>
        <v>0.023386368378838958</v>
      </c>
      <c r="T61" s="7">
        <v>2020</v>
      </c>
      <c r="U61" s="284">
        <v>0</v>
      </c>
      <c r="V61" s="356">
        <f t="shared" si="12"/>
        <v>130023</v>
      </c>
      <c r="W61" s="360"/>
      <c r="X61" s="314"/>
      <c r="Y61" s="320"/>
    </row>
    <row r="62" spans="1:25" ht="12.75">
      <c r="A62" s="207" t="s">
        <v>42</v>
      </c>
      <c r="B62" s="151" t="s">
        <v>56</v>
      </c>
      <c r="C62" s="1">
        <f>324248+100000</f>
        <v>424248</v>
      </c>
      <c r="D62" s="31">
        <v>26327</v>
      </c>
      <c r="E62" s="166"/>
      <c r="F62" s="166" t="s">
        <v>158</v>
      </c>
      <c r="G62" s="107">
        <f t="shared" si="7"/>
        <v>424248</v>
      </c>
      <c r="H62" s="227">
        <f t="shared" si="8"/>
        <v>26327</v>
      </c>
      <c r="I62" s="107">
        <f>IF(A62="X",G62,0)</f>
        <v>424248</v>
      </c>
      <c r="J62" s="229">
        <f t="shared" si="11"/>
        <v>41</v>
      </c>
      <c r="K62" s="161">
        <v>38</v>
      </c>
      <c r="L62" s="161">
        <v>24</v>
      </c>
      <c r="M62" s="161">
        <v>50</v>
      </c>
      <c r="N62" s="19">
        <v>25</v>
      </c>
      <c r="O62" s="162">
        <f t="shared" si="13"/>
        <v>137</v>
      </c>
      <c r="P62" s="76" t="s">
        <v>63</v>
      </c>
      <c r="Q62" s="19"/>
      <c r="R62" s="163">
        <f t="shared" si="10"/>
        <v>0.06205568441100488</v>
      </c>
      <c r="S62" s="228">
        <f>+Sheet3!W49</f>
        <v>-1</v>
      </c>
      <c r="T62" s="41" t="s">
        <v>124</v>
      </c>
      <c r="U62" s="284">
        <v>0.2</v>
      </c>
      <c r="V62" s="356">
        <f t="shared" si="12"/>
        <v>509097.6</v>
      </c>
      <c r="W62" s="360" t="s">
        <v>127</v>
      </c>
      <c r="X62" s="314" t="s">
        <v>127</v>
      </c>
      <c r="Y62" s="320" t="s">
        <v>147</v>
      </c>
    </row>
    <row r="63" spans="1:25" ht="12.75">
      <c r="A63" s="167" t="s">
        <v>42</v>
      </c>
      <c r="B63" s="151" t="s">
        <v>26</v>
      </c>
      <c r="C63" s="1">
        <v>295796</v>
      </c>
      <c r="D63" s="31">
        <v>500</v>
      </c>
      <c r="E63" s="166"/>
      <c r="F63" s="166" t="s">
        <v>158</v>
      </c>
      <c r="G63" s="98">
        <f t="shared" si="7"/>
        <v>295796</v>
      </c>
      <c r="H63" s="109">
        <f t="shared" si="8"/>
        <v>500</v>
      </c>
      <c r="I63" s="104">
        <v>0</v>
      </c>
      <c r="J63" s="229">
        <f t="shared" si="11"/>
        <v>42</v>
      </c>
      <c r="K63" s="147">
        <v>44</v>
      </c>
      <c r="L63" s="147">
        <v>44</v>
      </c>
      <c r="M63" s="147">
        <v>32</v>
      </c>
      <c r="N63" s="14">
        <v>21</v>
      </c>
      <c r="O63" s="150">
        <f t="shared" si="13"/>
        <v>141</v>
      </c>
      <c r="P63" s="69" t="s">
        <v>64</v>
      </c>
      <c r="Q63" s="14"/>
      <c r="R63" s="132">
        <f t="shared" si="10"/>
        <v>0.0016903541630042325</v>
      </c>
      <c r="S63" s="228">
        <f>+Sheet3!W50</f>
        <v>-0.21557955121622357</v>
      </c>
      <c r="T63" s="7">
        <v>2009</v>
      </c>
      <c r="U63" s="284">
        <v>0</v>
      </c>
      <c r="V63" s="356">
        <f t="shared" si="12"/>
        <v>295796</v>
      </c>
      <c r="W63" s="360"/>
      <c r="X63" s="314"/>
      <c r="Y63" s="320"/>
    </row>
    <row r="64" spans="1:25" ht="12.75">
      <c r="A64" s="167" t="s">
        <v>42</v>
      </c>
      <c r="B64" s="151" t="s">
        <v>111</v>
      </c>
      <c r="C64" s="1">
        <v>77464</v>
      </c>
      <c r="D64" s="31">
        <v>1332</v>
      </c>
      <c r="E64" s="166"/>
      <c r="F64" s="166" t="s">
        <v>156</v>
      </c>
      <c r="G64" s="98">
        <f t="shared" si="7"/>
        <v>77464</v>
      </c>
      <c r="H64" s="109">
        <f t="shared" si="8"/>
        <v>1332</v>
      </c>
      <c r="I64" s="98">
        <f>IF(A64="X",G64,0)</f>
        <v>77464</v>
      </c>
      <c r="J64" s="229">
        <f t="shared" si="11"/>
        <v>43</v>
      </c>
      <c r="K64" s="147">
        <v>46</v>
      </c>
      <c r="L64" s="147">
        <v>38</v>
      </c>
      <c r="M64" s="147">
        <v>46</v>
      </c>
      <c r="N64" s="14">
        <v>40</v>
      </c>
      <c r="O64" s="150">
        <f t="shared" si="13"/>
        <v>170</v>
      </c>
      <c r="P64" s="69" t="s">
        <v>61</v>
      </c>
      <c r="Q64" s="14"/>
      <c r="R64" s="132">
        <f t="shared" si="10"/>
        <v>0.01719508416812971</v>
      </c>
      <c r="S64" s="228">
        <f>+Sheet3!W51</f>
        <v>0.07166052552798241</v>
      </c>
      <c r="T64" s="7">
        <v>2011</v>
      </c>
      <c r="U64" s="284">
        <v>0.2</v>
      </c>
      <c r="V64" s="356">
        <f t="shared" si="12"/>
        <v>92956.8</v>
      </c>
      <c r="W64" s="360">
        <v>0</v>
      </c>
      <c r="X64" s="314">
        <v>1</v>
      </c>
      <c r="Y64" s="320" t="s">
        <v>153</v>
      </c>
    </row>
    <row r="65" spans="1:25" s="43" customFormat="1" ht="12.75">
      <c r="A65" s="167" t="s">
        <v>42</v>
      </c>
      <c r="B65" s="155" t="s">
        <v>34</v>
      </c>
      <c r="C65" s="1">
        <v>40139</v>
      </c>
      <c r="D65" s="31">
        <v>2500</v>
      </c>
      <c r="E65" s="166"/>
      <c r="F65" s="166" t="s">
        <v>158</v>
      </c>
      <c r="G65" s="98">
        <f t="shared" si="7"/>
        <v>40139</v>
      </c>
      <c r="H65" s="109">
        <f t="shared" si="8"/>
        <v>2500</v>
      </c>
      <c r="I65" s="98">
        <f>IF(A65="X",G65,0)</f>
        <v>40139</v>
      </c>
      <c r="J65" s="229">
        <f t="shared" si="11"/>
        <v>44</v>
      </c>
      <c r="K65" s="147">
        <v>31</v>
      </c>
      <c r="L65" s="147">
        <v>32</v>
      </c>
      <c r="M65" s="147">
        <v>20</v>
      </c>
      <c r="N65" s="14">
        <v>50</v>
      </c>
      <c r="O65" s="150">
        <f t="shared" si="13"/>
        <v>133</v>
      </c>
      <c r="P65" s="69" t="s">
        <v>57</v>
      </c>
      <c r="Q65" s="150">
        <f>G65/H65</f>
        <v>16.0556</v>
      </c>
      <c r="R65" s="132">
        <f t="shared" si="10"/>
        <v>0.06228356461296993</v>
      </c>
      <c r="S65" s="228">
        <f>+Sheet3!W52</f>
        <v>0.14294121558051393</v>
      </c>
      <c r="T65" s="7" t="s">
        <v>124</v>
      </c>
      <c r="U65" s="284">
        <v>0</v>
      </c>
      <c r="V65" s="356">
        <f t="shared" si="12"/>
        <v>40139</v>
      </c>
      <c r="W65" s="360"/>
      <c r="X65" s="314"/>
      <c r="Y65" s="320"/>
    </row>
    <row r="66" spans="1:25" ht="12.75">
      <c r="A66" s="167" t="s">
        <v>42</v>
      </c>
      <c r="B66" s="205" t="s">
        <v>30</v>
      </c>
      <c r="C66" s="45">
        <v>17961</v>
      </c>
      <c r="D66" s="46">
        <v>500</v>
      </c>
      <c r="E66" s="166"/>
      <c r="F66" s="166" t="s">
        <v>158</v>
      </c>
      <c r="G66" s="98">
        <f t="shared" si="7"/>
        <v>17961</v>
      </c>
      <c r="H66" s="109">
        <f t="shared" si="8"/>
        <v>500</v>
      </c>
      <c r="I66" s="104">
        <v>0</v>
      </c>
      <c r="J66" s="229">
        <f t="shared" si="11"/>
        <v>45</v>
      </c>
      <c r="K66" s="147">
        <v>41</v>
      </c>
      <c r="L66" s="147">
        <v>16</v>
      </c>
      <c r="M66" s="147">
        <v>49</v>
      </c>
      <c r="N66" s="14">
        <v>37</v>
      </c>
      <c r="O66" s="150">
        <f t="shared" si="13"/>
        <v>143</v>
      </c>
      <c r="P66" s="69" t="s">
        <v>63</v>
      </c>
      <c r="Q66" s="14"/>
      <c r="R66" s="132">
        <f t="shared" si="10"/>
        <v>0.02783809364734703</v>
      </c>
      <c r="S66" s="228">
        <f>+Sheet3!W53</f>
        <v>-0.05028664197219754</v>
      </c>
      <c r="T66" s="7" t="s">
        <v>124</v>
      </c>
      <c r="U66" s="284">
        <v>0</v>
      </c>
      <c r="V66" s="356">
        <f t="shared" si="12"/>
        <v>17961</v>
      </c>
      <c r="W66" s="360"/>
      <c r="X66" s="314"/>
      <c r="Y66" s="320"/>
    </row>
    <row r="67" spans="1:25" ht="12.75">
      <c r="A67" s="167" t="s">
        <v>42</v>
      </c>
      <c r="B67" s="248" t="s">
        <v>48</v>
      </c>
      <c r="C67" s="179">
        <v>136921</v>
      </c>
      <c r="D67" s="33">
        <v>3000</v>
      </c>
      <c r="E67" s="338"/>
      <c r="F67" s="166" t="s">
        <v>158</v>
      </c>
      <c r="G67" s="98">
        <f t="shared" si="7"/>
        <v>136921</v>
      </c>
      <c r="H67" s="98">
        <f t="shared" si="8"/>
        <v>3000</v>
      </c>
      <c r="I67" s="104">
        <v>0</v>
      </c>
      <c r="J67" s="229">
        <f t="shared" si="11"/>
        <v>46</v>
      </c>
      <c r="K67" s="147">
        <v>43</v>
      </c>
      <c r="L67" s="147">
        <v>45</v>
      </c>
      <c r="M67" s="147">
        <v>48</v>
      </c>
      <c r="N67" s="14">
        <v>39</v>
      </c>
      <c r="O67" s="150">
        <f t="shared" si="13"/>
        <v>175</v>
      </c>
      <c r="P67" s="339" t="s">
        <v>63</v>
      </c>
      <c r="Q67" s="14"/>
      <c r="R67" s="132">
        <f t="shared" si="10"/>
        <v>0.021910444708992775</v>
      </c>
      <c r="S67" s="228">
        <f>+Sheet3!W54</f>
        <v>-0.06832828412785784</v>
      </c>
      <c r="T67" s="7" t="s">
        <v>124</v>
      </c>
      <c r="U67" s="337">
        <v>0</v>
      </c>
      <c r="V67" s="325">
        <f t="shared" si="12"/>
        <v>136921</v>
      </c>
      <c r="W67" s="360"/>
      <c r="X67" s="314"/>
      <c r="Y67" s="320"/>
    </row>
    <row r="68" spans="1:25" ht="12.75">
      <c r="A68" s="167" t="s">
        <v>42</v>
      </c>
      <c r="B68" s="248" t="s">
        <v>11</v>
      </c>
      <c r="C68" s="179">
        <v>6957</v>
      </c>
      <c r="D68" s="33">
        <v>342</v>
      </c>
      <c r="E68" s="338"/>
      <c r="F68" s="166" t="s">
        <v>158</v>
      </c>
      <c r="G68" s="98">
        <f t="shared" si="7"/>
        <v>6957</v>
      </c>
      <c r="H68" s="98">
        <f t="shared" si="8"/>
        <v>342</v>
      </c>
      <c r="I68" s="98">
        <f>IF(A68="X",G68,0)</f>
        <v>6957</v>
      </c>
      <c r="J68" s="229">
        <f t="shared" si="11"/>
        <v>47</v>
      </c>
      <c r="K68" s="147">
        <v>32</v>
      </c>
      <c r="L68" s="147">
        <v>11</v>
      </c>
      <c r="M68" s="147">
        <v>18</v>
      </c>
      <c r="N68" s="14">
        <v>16</v>
      </c>
      <c r="O68" s="150">
        <f t="shared" si="13"/>
        <v>77</v>
      </c>
      <c r="P68" s="339" t="s">
        <v>57</v>
      </c>
      <c r="Q68" s="150">
        <f>G68/H68</f>
        <v>20.342105263157894</v>
      </c>
      <c r="R68" s="132">
        <f t="shared" si="10"/>
        <v>0.04915912031047866</v>
      </c>
      <c r="S68" s="228">
        <f>+Sheet3!W55</f>
        <v>0.12485996918187796</v>
      </c>
      <c r="T68" s="7">
        <v>2006</v>
      </c>
      <c r="U68" s="337">
        <v>0</v>
      </c>
      <c r="V68" s="325">
        <f>G68*(1+U68)</f>
        <v>6957</v>
      </c>
      <c r="W68" s="360"/>
      <c r="X68" s="314"/>
      <c r="Y68" s="320"/>
    </row>
    <row r="69" spans="1:25" ht="12.75">
      <c r="A69" s="167" t="s">
        <v>42</v>
      </c>
      <c r="B69" s="149" t="s">
        <v>18</v>
      </c>
      <c r="C69" s="21">
        <v>39831</v>
      </c>
      <c r="D69" s="30">
        <v>500</v>
      </c>
      <c r="E69" s="166"/>
      <c r="F69" s="166" t="s">
        <v>158</v>
      </c>
      <c r="G69" s="107">
        <f t="shared" si="7"/>
        <v>39831</v>
      </c>
      <c r="H69" s="227">
        <f t="shared" si="8"/>
        <v>500</v>
      </c>
      <c r="I69" s="108">
        <v>0</v>
      </c>
      <c r="J69" s="229">
        <f t="shared" si="11"/>
        <v>48</v>
      </c>
      <c r="K69" s="156">
        <v>52</v>
      </c>
      <c r="L69" s="156">
        <v>51</v>
      </c>
      <c r="M69" s="156">
        <v>21</v>
      </c>
      <c r="N69" s="157">
        <v>52</v>
      </c>
      <c r="O69" s="158">
        <f t="shared" si="13"/>
        <v>176</v>
      </c>
      <c r="P69" s="69" t="s">
        <v>63</v>
      </c>
      <c r="Q69" s="14"/>
      <c r="R69" s="132">
        <f t="shared" si="10"/>
        <v>0.012553036579548593</v>
      </c>
      <c r="S69" s="214">
        <f>+Sheet3!W56</f>
        <v>-0.10631593428665981</v>
      </c>
      <c r="T69" s="7" t="s">
        <v>124</v>
      </c>
      <c r="U69" s="284">
        <v>0</v>
      </c>
      <c r="V69" s="356">
        <f>G69*(1+U69)</f>
        <v>39831</v>
      </c>
      <c r="W69" s="360"/>
      <c r="X69" s="314"/>
      <c r="Y69" s="320"/>
    </row>
    <row r="70" spans="1:25" s="164" customFormat="1" ht="13.5" thickBot="1">
      <c r="A70" s="245" t="s">
        <v>42</v>
      </c>
      <c r="B70" s="342" t="s">
        <v>119</v>
      </c>
      <c r="C70" s="343">
        <f>70000*1.25</f>
        <v>87500</v>
      </c>
      <c r="D70" s="344">
        <f>+(6191)*0</f>
        <v>0</v>
      </c>
      <c r="E70" s="345"/>
      <c r="F70" s="345" t="s">
        <v>158</v>
      </c>
      <c r="G70" s="346">
        <f t="shared" si="7"/>
        <v>87500</v>
      </c>
      <c r="H70" s="347">
        <v>0</v>
      </c>
      <c r="I70" s="348">
        <v>0</v>
      </c>
      <c r="J70" s="230">
        <f>SUM(J69+1)</f>
        <v>49</v>
      </c>
      <c r="K70" s="349">
        <v>51</v>
      </c>
      <c r="L70" s="349">
        <v>47</v>
      </c>
      <c r="M70" s="349">
        <v>51</v>
      </c>
      <c r="N70" s="350">
        <v>27</v>
      </c>
      <c r="O70" s="351">
        <f t="shared" si="13"/>
        <v>176</v>
      </c>
      <c r="P70" s="352" t="s">
        <v>63</v>
      </c>
      <c r="Q70" s="350"/>
      <c r="R70" s="340">
        <f t="shared" si="10"/>
        <v>0</v>
      </c>
      <c r="S70" s="353" t="s">
        <v>124</v>
      </c>
      <c r="T70" s="341" t="s">
        <v>124</v>
      </c>
      <c r="U70" s="285">
        <v>0</v>
      </c>
      <c r="V70" s="357">
        <f>G70*(1+U70)</f>
        <v>87500</v>
      </c>
      <c r="W70" s="361"/>
      <c r="X70" s="326"/>
      <c r="Y70" s="354"/>
    </row>
    <row r="71" spans="1:25" ht="13.5" thickBot="1">
      <c r="A71" s="217"/>
      <c r="B71" s="272"/>
      <c r="C71" s="273"/>
      <c r="D71" s="274"/>
      <c r="E71" s="274" t="s">
        <v>136</v>
      </c>
      <c r="F71" s="274"/>
      <c r="G71" s="258">
        <f>SUM(G43:G70)</f>
        <v>5652716</v>
      </c>
      <c r="H71" s="275">
        <f>SUM(H43:H70)</f>
        <v>236135.5</v>
      </c>
      <c r="I71" s="258">
        <f>SUM(I43:I70)</f>
        <v>1553281</v>
      </c>
      <c r="J71" s="276"/>
      <c r="K71" s="219"/>
      <c r="L71" s="219"/>
      <c r="M71" s="219"/>
      <c r="N71" s="219"/>
      <c r="O71" s="218"/>
      <c r="P71" s="220"/>
      <c r="Q71" s="218"/>
      <c r="R71" s="260"/>
      <c r="S71" s="277"/>
      <c r="T71" s="9"/>
      <c r="U71" s="261"/>
      <c r="V71" s="327">
        <f>SUM(V43:V70)</f>
        <v>5977270.999999999</v>
      </c>
      <c r="W71" s="323"/>
      <c r="X71" s="323"/>
      <c r="Y71" s="324"/>
    </row>
    <row r="72" spans="1:25" ht="16.5" thickBot="1">
      <c r="A72" s="147"/>
      <c r="B72" s="211" t="s">
        <v>139</v>
      </c>
      <c r="C72" s="179"/>
      <c r="D72" s="33"/>
      <c r="E72" s="33"/>
      <c r="F72" s="33"/>
      <c r="G72" s="109"/>
      <c r="H72" s="109"/>
      <c r="I72" s="109"/>
      <c r="J72" s="212"/>
      <c r="K72" s="147"/>
      <c r="L72" s="147"/>
      <c r="M72" s="147"/>
      <c r="N72" s="147"/>
      <c r="O72" s="14"/>
      <c r="P72" s="14"/>
      <c r="Q72" s="14"/>
      <c r="R72" s="214"/>
      <c r="S72" s="214"/>
      <c r="T72" s="147"/>
      <c r="U72" s="147"/>
      <c r="V72" s="227"/>
      <c r="W72" s="294"/>
      <c r="X72" s="294"/>
      <c r="Y72" s="295"/>
    </row>
    <row r="73" spans="1:25" ht="13.5" thickBot="1">
      <c r="A73" s="206" t="s">
        <v>42</v>
      </c>
      <c r="B73" s="278" t="s">
        <v>126</v>
      </c>
      <c r="C73" s="279">
        <v>9501677</v>
      </c>
      <c r="D73" s="280">
        <v>329616</v>
      </c>
      <c r="E73" s="363"/>
      <c r="F73" s="280" t="s">
        <v>158</v>
      </c>
      <c r="G73" s="281">
        <f>IF(A73="X",C73,0)</f>
        <v>9501677</v>
      </c>
      <c r="H73" s="279">
        <f>IF(A73="X",D73,0)</f>
        <v>329616</v>
      </c>
      <c r="I73" s="281">
        <f>IF(A73="X",2126450,0)</f>
        <v>2126450</v>
      </c>
      <c r="J73" s="276">
        <v>50</v>
      </c>
      <c r="K73" s="219">
        <v>50</v>
      </c>
      <c r="L73" s="219">
        <v>27</v>
      </c>
      <c r="M73" s="219">
        <v>1</v>
      </c>
      <c r="N73" s="218">
        <v>46</v>
      </c>
      <c r="O73" s="259">
        <f>SUM(K73:N73)</f>
        <v>124</v>
      </c>
      <c r="P73" s="282" t="s">
        <v>70</v>
      </c>
      <c r="Q73" s="218"/>
      <c r="R73" s="260">
        <f>+H73/G73</f>
        <v>0.03469029730225517</v>
      </c>
      <c r="S73" s="277">
        <f>+Sheet3!W63</f>
        <v>0</v>
      </c>
      <c r="T73" s="261">
        <v>2012</v>
      </c>
      <c r="U73" s="289">
        <v>0</v>
      </c>
      <c r="V73" s="328">
        <f>G73*(1+U73)</f>
        <v>9501677</v>
      </c>
      <c r="W73" s="323"/>
      <c r="X73" s="316"/>
      <c r="Y73" s="317"/>
    </row>
    <row r="74" spans="1:25" ht="13.5" thickBot="1">
      <c r="A74" s="217"/>
      <c r="B74" s="249"/>
      <c r="C74" s="224"/>
      <c r="D74" s="225"/>
      <c r="E74" s="362" t="s">
        <v>140</v>
      </c>
      <c r="F74" s="225"/>
      <c r="G74" s="185">
        <f>SUM(G73)</f>
        <v>9501677</v>
      </c>
      <c r="H74" s="185">
        <f>SUM(H73)</f>
        <v>329616</v>
      </c>
      <c r="I74" s="185">
        <f>SUM(I73)</f>
        <v>2126450</v>
      </c>
      <c r="J74" s="230"/>
      <c r="K74" s="159"/>
      <c r="L74" s="159"/>
      <c r="M74" s="159"/>
      <c r="N74" s="159"/>
      <c r="O74" s="17"/>
      <c r="P74" s="34"/>
      <c r="Q74" s="17"/>
      <c r="R74" s="140"/>
      <c r="S74" s="231"/>
      <c r="T74" s="9"/>
      <c r="U74" s="288"/>
      <c r="V74" s="322">
        <f>SUM(V73)</f>
        <v>9501677</v>
      </c>
      <c r="W74" s="312"/>
      <c r="X74" s="323"/>
      <c r="Y74" s="324"/>
    </row>
    <row r="75" spans="1:25" s="14" customFormat="1" ht="13.5" thickBot="1">
      <c r="A75" s="147"/>
      <c r="B75" s="71"/>
      <c r="C75" s="179"/>
      <c r="D75" s="33"/>
      <c r="E75" s="33"/>
      <c r="F75" s="33"/>
      <c r="G75" s="109"/>
      <c r="H75" s="109"/>
      <c r="I75" s="216"/>
      <c r="J75" s="212"/>
      <c r="K75" s="147"/>
      <c r="L75" s="147"/>
      <c r="M75" s="147"/>
      <c r="N75" s="147"/>
      <c r="R75" s="214"/>
      <c r="S75" s="214"/>
      <c r="T75" s="147"/>
      <c r="U75" s="147"/>
      <c r="V75" s="332"/>
      <c r="W75" s="294"/>
      <c r="X75" s="294"/>
      <c r="Y75" s="296"/>
    </row>
    <row r="76" spans="1:25" ht="13.5" thickBot="1">
      <c r="A76" s="180"/>
      <c r="B76" s="191" t="s">
        <v>43</v>
      </c>
      <c r="C76" s="177">
        <f>SUM(C9:C70)</f>
        <v>17668188</v>
      </c>
      <c r="D76" s="177">
        <f>SUM(D9:D70)</f>
        <v>344568.5</v>
      </c>
      <c r="E76" s="178"/>
      <c r="F76" s="178"/>
      <c r="G76" s="181">
        <f>SUM(G71+G35+G14+G74)</f>
        <v>27169865</v>
      </c>
      <c r="H76" s="181">
        <f>SUM(H71+H35+H14+H74)</f>
        <v>674184.5</v>
      </c>
      <c r="I76" s="181">
        <f>SUM(I71+I35+I14+I74)</f>
        <v>14583304</v>
      </c>
      <c r="J76" s="218"/>
      <c r="K76" s="219"/>
      <c r="L76" s="219"/>
      <c r="M76" s="219"/>
      <c r="N76" s="219"/>
      <c r="O76" s="218"/>
      <c r="P76" s="220"/>
      <c r="Q76" s="221"/>
      <c r="R76" s="131">
        <f>+H76/G76</f>
        <v>0.02481368604518278</v>
      </c>
      <c r="S76" s="136">
        <f>+Sheet3!W61</f>
        <v>0.015514342264689712</v>
      </c>
      <c r="T76" s="221"/>
      <c r="U76" s="290"/>
      <c r="V76" s="329">
        <f>SUM(V71+V35+V14+V74)</f>
        <v>32492487.310000002</v>
      </c>
      <c r="W76" s="330"/>
      <c r="X76" s="323"/>
      <c r="Y76" s="331"/>
    </row>
    <row r="77" spans="7:25" ht="13.5" thickBot="1">
      <c r="G77" s="113"/>
      <c r="H77" s="113"/>
      <c r="I77" s="113"/>
      <c r="V77" s="113"/>
      <c r="W77" s="92"/>
      <c r="X77" s="293"/>
      <c r="Y77" s="113"/>
    </row>
    <row r="78" spans="2:25" ht="13.5" thickBot="1">
      <c r="B78" s="191" t="s">
        <v>204</v>
      </c>
      <c r="C78" s="177">
        <f>SUM(C13:C71)</f>
        <v>11681215</v>
      </c>
      <c r="D78" s="177">
        <f>SUM(D13:D71)</f>
        <v>340505.5</v>
      </c>
      <c r="E78" s="178"/>
      <c r="F78" s="178"/>
      <c r="G78" s="181">
        <f>SUM(G76-G74)</f>
        <v>17668188</v>
      </c>
      <c r="H78" s="181">
        <f>SUM(H76-H74)</f>
        <v>344568.5</v>
      </c>
      <c r="I78" s="181">
        <f>SUM(I76-I74)</f>
        <v>12456854</v>
      </c>
      <c r="J78" s="218"/>
      <c r="K78" s="219"/>
      <c r="L78" s="219"/>
      <c r="M78" s="219"/>
      <c r="N78" s="219"/>
      <c r="O78" s="218"/>
      <c r="P78" s="220"/>
      <c r="Q78" s="221"/>
      <c r="R78" s="131">
        <f>+H78/G78</f>
        <v>0.019502197961669868</v>
      </c>
      <c r="S78" s="136">
        <f>+Sheet3!W65</f>
        <v>0</v>
      </c>
      <c r="T78" s="221"/>
      <c r="U78" s="290"/>
      <c r="V78" s="329">
        <f>SUM(V76-V74)</f>
        <v>22990810.310000002</v>
      </c>
      <c r="W78" s="330"/>
      <c r="X78" s="323"/>
      <c r="Y78" s="331"/>
    </row>
    <row r="79" spans="7:25" ht="12.75">
      <c r="G79" s="113"/>
      <c r="H79" s="113"/>
      <c r="I79" s="113"/>
      <c r="V79" s="113"/>
      <c r="W79" s="92"/>
      <c r="X79" s="293"/>
      <c r="Y79" s="113"/>
    </row>
    <row r="80" spans="7:25" ht="12.75">
      <c r="G80" s="113"/>
      <c r="H80" s="113"/>
      <c r="I80" s="113"/>
      <c r="V80" s="113"/>
      <c r="W80" s="92"/>
      <c r="X80" s="293"/>
      <c r="Y80" s="113"/>
    </row>
    <row r="81" spans="7:25" ht="12.75">
      <c r="G81" s="113"/>
      <c r="H81" s="113"/>
      <c r="I81" s="113"/>
      <c r="V81" s="113"/>
      <c r="W81" s="92"/>
      <c r="X81" s="293"/>
      <c r="Y81" s="113"/>
    </row>
    <row r="82" spans="7:25" ht="12.75">
      <c r="G82" s="113"/>
      <c r="H82" s="113"/>
      <c r="I82" s="113"/>
      <c r="V82" s="113"/>
      <c r="W82" s="92"/>
      <c r="X82" s="293"/>
      <c r="Y82" s="113"/>
    </row>
    <row r="83" spans="7:25" ht="12.75">
      <c r="G83" s="113"/>
      <c r="H83" s="113"/>
      <c r="I83" s="113"/>
      <c r="V83" s="113"/>
      <c r="W83" s="92"/>
      <c r="X83" s="293"/>
      <c r="Y83" s="113"/>
    </row>
    <row r="84" spans="7:25" ht="12.75">
      <c r="G84" s="113"/>
      <c r="H84" s="113"/>
      <c r="I84" s="113"/>
      <c r="V84" s="113"/>
      <c r="W84" s="92"/>
      <c r="X84" s="293"/>
      <c r="Y84" s="113"/>
    </row>
    <row r="85" spans="7:25" ht="12.75">
      <c r="G85" s="113"/>
      <c r="H85" s="113"/>
      <c r="I85" s="113"/>
      <c r="V85" s="113"/>
      <c r="W85" s="92"/>
      <c r="X85" s="293"/>
      <c r="Y85" s="113"/>
    </row>
    <row r="86" spans="7:25" ht="12.75">
      <c r="G86" s="113"/>
      <c r="H86" s="113"/>
      <c r="I86" s="113"/>
      <c r="V86" s="113"/>
      <c r="W86" s="92"/>
      <c r="X86" s="293"/>
      <c r="Y86" s="113"/>
    </row>
    <row r="87" spans="7:25" ht="12.75">
      <c r="G87" s="113"/>
      <c r="H87" s="113"/>
      <c r="I87" s="113"/>
      <c r="V87" s="113"/>
      <c r="W87" s="92"/>
      <c r="X87" s="293"/>
      <c r="Y87" s="113"/>
    </row>
    <row r="88" spans="7:25" ht="12.75">
      <c r="G88" s="113"/>
      <c r="H88" s="113"/>
      <c r="I88" s="113"/>
      <c r="V88" s="113"/>
      <c r="W88" s="92"/>
      <c r="X88" s="293"/>
      <c r="Y88" s="113"/>
    </row>
    <row r="89" spans="7:25" ht="12.75">
      <c r="G89" s="113"/>
      <c r="H89" s="113"/>
      <c r="I89" s="113"/>
      <c r="V89" s="113"/>
      <c r="W89" s="92"/>
      <c r="X89" s="293"/>
      <c r="Y89" s="113"/>
    </row>
    <row r="90" spans="7:25" ht="12.75">
      <c r="G90" s="113"/>
      <c r="H90" s="113"/>
      <c r="I90" s="113"/>
      <c r="V90" s="113"/>
      <c r="W90" s="92"/>
      <c r="X90" s="293"/>
      <c r="Y90" s="113"/>
    </row>
    <row r="91" spans="7:25" ht="12.75">
      <c r="G91" s="113"/>
      <c r="H91" s="113"/>
      <c r="I91" s="113"/>
      <c r="V91" s="113"/>
      <c r="W91" s="92"/>
      <c r="X91" s="293"/>
      <c r="Y91" s="113"/>
    </row>
    <row r="92" spans="7:25" ht="12.75">
      <c r="G92" s="113"/>
      <c r="H92" s="113"/>
      <c r="I92" s="113"/>
      <c r="V92" s="113"/>
      <c r="W92" s="92"/>
      <c r="X92" s="293"/>
      <c r="Y92" s="113"/>
    </row>
    <row r="93" spans="7:25" ht="12.75">
      <c r="G93" s="113"/>
      <c r="H93" s="113"/>
      <c r="I93" s="113"/>
      <c r="V93" s="113"/>
      <c r="W93" s="92"/>
      <c r="X93" s="293"/>
      <c r="Y93" s="113"/>
    </row>
    <row r="94" spans="7:25" ht="12.75">
      <c r="G94" s="113"/>
      <c r="H94" s="113"/>
      <c r="I94" s="113"/>
      <c r="V94" s="113"/>
      <c r="W94" s="92"/>
      <c r="X94" s="293"/>
      <c r="Y94" s="113"/>
    </row>
    <row r="95" spans="7:25" ht="12.75">
      <c r="G95" s="113"/>
      <c r="H95" s="113"/>
      <c r="I95" s="113"/>
      <c r="V95" s="113"/>
      <c r="W95" s="92"/>
      <c r="X95" s="293"/>
      <c r="Y95" s="113"/>
    </row>
    <row r="96" spans="7:25" ht="12.75">
      <c r="G96" s="113"/>
      <c r="H96" s="113"/>
      <c r="I96" s="113"/>
      <c r="V96" s="113"/>
      <c r="W96" s="92"/>
      <c r="X96" s="293"/>
      <c r="Y96" s="113"/>
    </row>
    <row r="97" spans="7:25" ht="12.75">
      <c r="G97" s="113"/>
      <c r="H97" s="113"/>
      <c r="I97" s="113"/>
      <c r="V97" s="113"/>
      <c r="W97" s="92"/>
      <c r="X97" s="293"/>
      <c r="Y97" s="113"/>
    </row>
    <row r="98" spans="7:25" ht="12.75">
      <c r="G98" s="113"/>
      <c r="H98" s="113"/>
      <c r="I98" s="113"/>
      <c r="V98" s="113"/>
      <c r="W98" s="92"/>
      <c r="X98" s="293"/>
      <c r="Y98" s="113"/>
    </row>
    <row r="99" spans="7:25" ht="12.75">
      <c r="G99" s="113"/>
      <c r="H99" s="113"/>
      <c r="I99" s="113"/>
      <c r="V99" s="113"/>
      <c r="W99" s="92"/>
      <c r="X99" s="293"/>
      <c r="Y99" s="113"/>
    </row>
    <row r="100" spans="7:25" ht="12.75">
      <c r="G100" s="113"/>
      <c r="H100" s="113"/>
      <c r="I100" s="113"/>
      <c r="V100" s="113"/>
      <c r="W100" s="92"/>
      <c r="X100" s="293"/>
      <c r="Y100" s="113"/>
    </row>
    <row r="101" spans="7:25" ht="12.75">
      <c r="G101" s="113"/>
      <c r="H101" s="113"/>
      <c r="I101" s="113"/>
      <c r="V101" s="113"/>
      <c r="W101" s="92"/>
      <c r="X101" s="293"/>
      <c r="Y101" s="113"/>
    </row>
    <row r="102" spans="7:25" ht="12.75">
      <c r="G102" s="113"/>
      <c r="H102" s="113"/>
      <c r="I102" s="113"/>
      <c r="V102" s="113"/>
      <c r="W102" s="92"/>
      <c r="X102" s="293"/>
      <c r="Y102" s="113"/>
    </row>
    <row r="103" spans="7:25" ht="12.75">
      <c r="G103" s="113"/>
      <c r="H103" s="113"/>
      <c r="I103" s="113"/>
      <c r="V103" s="113"/>
      <c r="W103" s="92"/>
      <c r="X103" s="293"/>
      <c r="Y103" s="113"/>
    </row>
    <row r="104" spans="7:25" ht="12.75">
      <c r="G104" s="113"/>
      <c r="H104" s="113"/>
      <c r="I104" s="113"/>
      <c r="V104" s="113"/>
      <c r="W104" s="92"/>
      <c r="X104" s="293"/>
      <c r="Y104" s="113"/>
    </row>
    <row r="105" spans="7:25" ht="12.75">
      <c r="G105" s="113"/>
      <c r="H105" s="113"/>
      <c r="I105" s="113"/>
      <c r="V105" s="113"/>
      <c r="W105" s="92"/>
      <c r="X105" s="293"/>
      <c r="Y105" s="113"/>
    </row>
    <row r="106" spans="7:25" ht="12.75">
      <c r="G106" s="113"/>
      <c r="H106" s="113"/>
      <c r="I106" s="113"/>
      <c r="V106" s="113"/>
      <c r="W106" s="92"/>
      <c r="X106" s="293"/>
      <c r="Y106" s="113"/>
    </row>
    <row r="107" spans="7:25" ht="12.75">
      <c r="G107" s="113"/>
      <c r="H107" s="113"/>
      <c r="I107" s="113"/>
      <c r="V107" s="113"/>
      <c r="W107" s="92"/>
      <c r="X107" s="293"/>
      <c r="Y107" s="113"/>
    </row>
    <row r="108" spans="7:25" ht="12.75">
      <c r="G108" s="113"/>
      <c r="H108" s="113"/>
      <c r="I108" s="113"/>
      <c r="V108" s="113"/>
      <c r="W108" s="92"/>
      <c r="X108" s="293"/>
      <c r="Y108" s="113"/>
    </row>
    <row r="109" spans="7:25" ht="12.75">
      <c r="G109" s="113"/>
      <c r="H109" s="113"/>
      <c r="I109" s="113"/>
      <c r="V109" s="113"/>
      <c r="W109" s="92"/>
      <c r="X109" s="293"/>
      <c r="Y109" s="113"/>
    </row>
    <row r="110" spans="7:25" ht="12.75">
      <c r="G110" s="113"/>
      <c r="H110" s="113"/>
      <c r="I110" s="113"/>
      <c r="V110" s="113"/>
      <c r="W110" s="92"/>
      <c r="X110" s="293"/>
      <c r="Y110" s="113"/>
    </row>
    <row r="111" spans="7:25" ht="12.75">
      <c r="G111" s="113"/>
      <c r="H111" s="113"/>
      <c r="I111" s="113"/>
      <c r="V111" s="113"/>
      <c r="W111" s="92"/>
      <c r="X111" s="293"/>
      <c r="Y111" s="113"/>
    </row>
    <row r="112" spans="7:25" ht="12.75">
      <c r="G112" s="113"/>
      <c r="H112" s="113"/>
      <c r="I112" s="113"/>
      <c r="V112" s="113"/>
      <c r="W112" s="92"/>
      <c r="X112" s="293"/>
      <c r="Y112" s="113"/>
    </row>
    <row r="113" spans="7:25" ht="12.75">
      <c r="G113" s="113"/>
      <c r="H113" s="113"/>
      <c r="I113" s="113"/>
      <c r="V113" s="113"/>
      <c r="W113" s="92"/>
      <c r="X113" s="293"/>
      <c r="Y113" s="113"/>
    </row>
    <row r="114" spans="7:25" ht="12.75">
      <c r="G114" s="113"/>
      <c r="H114" s="113"/>
      <c r="I114" s="113"/>
      <c r="V114" s="113"/>
      <c r="W114" s="92"/>
      <c r="X114" s="293"/>
      <c r="Y114" s="113"/>
    </row>
    <row r="115" spans="7:25" ht="12.75">
      <c r="G115" s="113"/>
      <c r="H115" s="113"/>
      <c r="I115" s="113"/>
      <c r="V115" s="113"/>
      <c r="W115" s="92"/>
      <c r="X115" s="293"/>
      <c r="Y115" s="113"/>
    </row>
    <row r="116" spans="7:25" ht="12.75">
      <c r="G116" s="113"/>
      <c r="H116" s="113"/>
      <c r="I116" s="113"/>
      <c r="V116" s="113"/>
      <c r="W116" s="92"/>
      <c r="X116" s="293"/>
      <c r="Y116" s="113"/>
    </row>
    <row r="117" spans="7:25" ht="12.75">
      <c r="G117" s="113"/>
      <c r="H117" s="113"/>
      <c r="I117" s="113"/>
      <c r="V117" s="113"/>
      <c r="W117" s="92"/>
      <c r="X117" s="293"/>
      <c r="Y117" s="113"/>
    </row>
    <row r="118" spans="7:25" ht="12.75">
      <c r="G118" s="113"/>
      <c r="H118" s="113"/>
      <c r="I118" s="113"/>
      <c r="V118" s="113"/>
      <c r="W118" s="92"/>
      <c r="X118" s="293"/>
      <c r="Y118" s="113"/>
    </row>
    <row r="119" spans="7:25" ht="12.75">
      <c r="G119" s="113"/>
      <c r="H119" s="113"/>
      <c r="I119" s="113"/>
      <c r="V119" s="113"/>
      <c r="W119" s="92"/>
      <c r="X119" s="293"/>
      <c r="Y119" s="113"/>
    </row>
    <row r="120" spans="7:25" ht="12.75">
      <c r="G120" s="113"/>
      <c r="H120" s="113"/>
      <c r="I120" s="113"/>
      <c r="V120" s="113"/>
      <c r="W120" s="92"/>
      <c r="X120" s="293"/>
      <c r="Y120" s="113"/>
    </row>
    <row r="121" spans="7:25" ht="12.75">
      <c r="G121" s="113"/>
      <c r="H121" s="113"/>
      <c r="I121" s="113"/>
      <c r="V121" s="113"/>
      <c r="W121" s="92"/>
      <c r="X121" s="293"/>
      <c r="Y121" s="113"/>
    </row>
    <row r="122" spans="7:25" ht="12.75">
      <c r="G122" s="113"/>
      <c r="H122" s="113"/>
      <c r="I122" s="113"/>
      <c r="V122" s="113"/>
      <c r="W122" s="92"/>
      <c r="X122" s="293"/>
      <c r="Y122" s="113"/>
    </row>
    <row r="123" spans="7:25" ht="12.75">
      <c r="G123" s="113"/>
      <c r="H123" s="113"/>
      <c r="I123" s="113"/>
      <c r="V123" s="113"/>
      <c r="W123" s="92"/>
      <c r="X123" s="293"/>
      <c r="Y123" s="113"/>
    </row>
    <row r="124" spans="7:25" ht="12.75">
      <c r="G124" s="113"/>
      <c r="H124" s="113"/>
      <c r="I124" s="113"/>
      <c r="V124" s="113"/>
      <c r="W124" s="92"/>
      <c r="X124" s="293"/>
      <c r="Y124" s="113"/>
    </row>
    <row r="125" spans="7:25" ht="12.75">
      <c r="G125" s="113"/>
      <c r="H125" s="113"/>
      <c r="I125" s="113"/>
      <c r="V125" s="113"/>
      <c r="W125" s="92"/>
      <c r="X125" s="293"/>
      <c r="Y125" s="113"/>
    </row>
    <row r="126" spans="7:25" ht="12.75">
      <c r="G126" s="113"/>
      <c r="H126" s="113"/>
      <c r="I126" s="113"/>
      <c r="V126" s="113"/>
      <c r="W126" s="92"/>
      <c r="X126" s="293"/>
      <c r="Y126" s="113"/>
    </row>
    <row r="127" spans="7:25" ht="12.75">
      <c r="G127" s="113"/>
      <c r="H127" s="113"/>
      <c r="I127" s="113"/>
      <c r="V127" s="113"/>
      <c r="W127" s="92"/>
      <c r="X127" s="293"/>
      <c r="Y127" s="113"/>
    </row>
    <row r="128" spans="7:25" ht="12.75">
      <c r="G128" s="113"/>
      <c r="H128" s="113"/>
      <c r="I128" s="113"/>
      <c r="V128" s="113"/>
      <c r="W128" s="92"/>
      <c r="X128" s="293"/>
      <c r="Y128" s="113"/>
    </row>
    <row r="129" spans="7:25" ht="12.75">
      <c r="G129" s="113"/>
      <c r="H129" s="113"/>
      <c r="I129" s="113"/>
      <c r="V129" s="113"/>
      <c r="W129" s="92"/>
      <c r="X129" s="293"/>
      <c r="Y129" s="113"/>
    </row>
    <row r="130" spans="7:25" ht="12.75">
      <c r="G130" s="113"/>
      <c r="H130" s="113"/>
      <c r="I130" s="113"/>
      <c r="V130" s="113"/>
      <c r="W130" s="92"/>
      <c r="X130" s="293"/>
      <c r="Y130" s="113"/>
    </row>
    <row r="131" spans="7:25" ht="12.75">
      <c r="G131" s="113"/>
      <c r="H131" s="113"/>
      <c r="I131" s="113"/>
      <c r="V131" s="113"/>
      <c r="W131" s="92"/>
      <c r="X131" s="293"/>
      <c r="Y131" s="113"/>
    </row>
    <row r="132" spans="7:25" ht="12.75">
      <c r="G132" s="113"/>
      <c r="H132" s="113"/>
      <c r="I132" s="113"/>
      <c r="V132" s="113"/>
      <c r="W132" s="92"/>
      <c r="X132" s="293"/>
      <c r="Y132" s="113"/>
    </row>
    <row r="133" spans="7:25" ht="12.75">
      <c r="G133" s="113"/>
      <c r="H133" s="113"/>
      <c r="I133" s="113"/>
      <c r="V133" s="113"/>
      <c r="W133" s="92"/>
      <c r="X133" s="293"/>
      <c r="Y133" s="113"/>
    </row>
    <row r="134" spans="7:25" ht="12.75">
      <c r="G134" s="113"/>
      <c r="H134" s="113"/>
      <c r="I134" s="113"/>
      <c r="V134" s="113"/>
      <c r="W134" s="92"/>
      <c r="X134" s="293"/>
      <c r="Y134" s="113"/>
    </row>
    <row r="135" spans="7:25" ht="12.75">
      <c r="G135" s="113"/>
      <c r="H135" s="113"/>
      <c r="I135" s="113"/>
      <c r="V135" s="113"/>
      <c r="W135" s="92"/>
      <c r="X135" s="293"/>
      <c r="Y135" s="113"/>
    </row>
    <row r="136" spans="7:25" ht="12.75">
      <c r="G136" s="113"/>
      <c r="H136" s="113"/>
      <c r="I136" s="113"/>
      <c r="V136" s="113"/>
      <c r="W136" s="92"/>
      <c r="X136" s="293"/>
      <c r="Y136" s="113"/>
    </row>
    <row r="137" spans="7:25" ht="12.75">
      <c r="G137" s="113"/>
      <c r="H137" s="113"/>
      <c r="I137" s="113"/>
      <c r="V137" s="113"/>
      <c r="W137" s="92"/>
      <c r="X137" s="293"/>
      <c r="Y137" s="113"/>
    </row>
    <row r="138" spans="7:25" ht="12.75">
      <c r="G138" s="113"/>
      <c r="H138" s="113"/>
      <c r="I138" s="113"/>
      <c r="V138" s="113"/>
      <c r="W138" s="92"/>
      <c r="X138" s="293"/>
      <c r="Y138" s="113"/>
    </row>
    <row r="139" spans="7:25" ht="12.75">
      <c r="G139" s="113"/>
      <c r="H139" s="113"/>
      <c r="I139" s="113"/>
      <c r="V139" s="113"/>
      <c r="W139" s="92"/>
      <c r="X139" s="293"/>
      <c r="Y139" s="113"/>
    </row>
    <row r="140" spans="7:25" ht="12.75">
      <c r="G140" s="113"/>
      <c r="H140" s="113"/>
      <c r="I140" s="113"/>
      <c r="V140" s="113"/>
      <c r="W140" s="92"/>
      <c r="X140" s="293"/>
      <c r="Y140" s="113"/>
    </row>
    <row r="141" spans="7:25" ht="12.75">
      <c r="G141" s="113"/>
      <c r="H141" s="113"/>
      <c r="I141" s="113"/>
      <c r="V141" s="113"/>
      <c r="W141" s="92"/>
      <c r="X141" s="293"/>
      <c r="Y141" s="113"/>
    </row>
    <row r="142" spans="7:25" ht="12.75">
      <c r="G142" s="113"/>
      <c r="H142" s="113"/>
      <c r="I142" s="113"/>
      <c r="V142" s="113"/>
      <c r="W142" s="92"/>
      <c r="X142" s="293"/>
      <c r="Y142" s="113"/>
    </row>
    <row r="143" spans="7:25" ht="12.75">
      <c r="G143" s="113"/>
      <c r="H143" s="113"/>
      <c r="I143" s="113"/>
      <c r="V143" s="113"/>
      <c r="W143" s="92"/>
      <c r="X143" s="293"/>
      <c r="Y143" s="113"/>
    </row>
    <row r="144" spans="7:25" ht="12.75">
      <c r="G144" s="113"/>
      <c r="H144" s="113"/>
      <c r="I144" s="113"/>
      <c r="V144" s="113"/>
      <c r="W144" s="92"/>
      <c r="X144" s="293"/>
      <c r="Y144" s="113"/>
    </row>
    <row r="145" spans="7:25" ht="12.75">
      <c r="G145" s="113"/>
      <c r="H145" s="113"/>
      <c r="I145" s="113"/>
      <c r="V145" s="113"/>
      <c r="W145" s="92"/>
      <c r="X145" s="293"/>
      <c r="Y145" s="113"/>
    </row>
    <row r="146" spans="7:25" ht="12.75">
      <c r="G146" s="113"/>
      <c r="H146" s="113"/>
      <c r="I146" s="113"/>
      <c r="V146" s="113"/>
      <c r="W146" s="92"/>
      <c r="X146" s="293"/>
      <c r="Y146" s="113"/>
    </row>
    <row r="147" spans="7:25" ht="12.75">
      <c r="G147" s="113"/>
      <c r="H147" s="113"/>
      <c r="I147" s="113"/>
      <c r="V147" s="113"/>
      <c r="W147" s="92"/>
      <c r="X147" s="293"/>
      <c r="Y147" s="113"/>
    </row>
    <row r="148" spans="7:25" ht="12.75">
      <c r="G148" s="113"/>
      <c r="H148" s="113"/>
      <c r="I148" s="113"/>
      <c r="V148" s="113"/>
      <c r="W148" s="92"/>
      <c r="X148" s="293"/>
      <c r="Y148" s="113"/>
    </row>
    <row r="149" spans="7:25" ht="12.75">
      <c r="G149" s="113"/>
      <c r="H149" s="113"/>
      <c r="I149" s="113"/>
      <c r="V149" s="113"/>
      <c r="W149" s="92"/>
      <c r="X149" s="293"/>
      <c r="Y149" s="113"/>
    </row>
    <row r="150" spans="7:25" ht="12.75">
      <c r="G150" s="113"/>
      <c r="H150" s="113"/>
      <c r="I150" s="113"/>
      <c r="V150" s="113"/>
      <c r="W150" s="92"/>
      <c r="X150" s="293"/>
      <c r="Y150" s="113"/>
    </row>
    <row r="151" spans="7:25" ht="12.75">
      <c r="G151" s="113"/>
      <c r="H151" s="113"/>
      <c r="I151" s="113"/>
      <c r="V151" s="113"/>
      <c r="W151" s="92"/>
      <c r="X151" s="293"/>
      <c r="Y151" s="113"/>
    </row>
    <row r="152" spans="7:25" ht="12.75">
      <c r="G152" s="113"/>
      <c r="H152" s="113"/>
      <c r="I152" s="113"/>
      <c r="V152" s="113"/>
      <c r="W152" s="92"/>
      <c r="X152" s="293"/>
      <c r="Y152" s="113"/>
    </row>
    <row r="153" spans="7:25" ht="12.75">
      <c r="G153" s="113"/>
      <c r="H153" s="113"/>
      <c r="I153" s="113"/>
      <c r="V153" s="113"/>
      <c r="W153" s="92"/>
      <c r="X153" s="293"/>
      <c r="Y153" s="113"/>
    </row>
    <row r="154" spans="7:25" ht="12.75">
      <c r="G154" s="113"/>
      <c r="H154" s="113"/>
      <c r="I154" s="113"/>
      <c r="V154" s="113"/>
      <c r="W154" s="92"/>
      <c r="X154" s="293"/>
      <c r="Y154" s="113"/>
    </row>
    <row r="155" spans="7:25" ht="12.75">
      <c r="G155" s="113"/>
      <c r="H155" s="113"/>
      <c r="I155" s="113"/>
      <c r="V155" s="113"/>
      <c r="W155" s="92"/>
      <c r="X155" s="293"/>
      <c r="Y155" s="113"/>
    </row>
    <row r="156" spans="7:25" ht="12.75">
      <c r="G156" s="113"/>
      <c r="H156" s="113"/>
      <c r="I156" s="113"/>
      <c r="V156" s="113"/>
      <c r="W156" s="92"/>
      <c r="X156" s="293"/>
      <c r="Y156" s="113"/>
    </row>
    <row r="157" spans="7:25" ht="12.75">
      <c r="G157" s="113"/>
      <c r="H157" s="113"/>
      <c r="I157" s="113"/>
      <c r="V157" s="113"/>
      <c r="W157" s="92"/>
      <c r="X157" s="293"/>
      <c r="Y157" s="113"/>
    </row>
    <row r="158" spans="7:25" ht="12.75">
      <c r="G158" s="113"/>
      <c r="H158" s="113"/>
      <c r="I158" s="113"/>
      <c r="V158" s="113"/>
      <c r="W158" s="92"/>
      <c r="X158" s="293"/>
      <c r="Y158" s="113"/>
    </row>
    <row r="159" spans="7:25" ht="12.75">
      <c r="G159" s="113"/>
      <c r="H159" s="113"/>
      <c r="I159" s="113"/>
      <c r="V159" s="113"/>
      <c r="W159" s="92"/>
      <c r="X159" s="293"/>
      <c r="Y159" s="113"/>
    </row>
    <row r="160" spans="7:25" ht="12.75">
      <c r="G160" s="113"/>
      <c r="H160" s="113"/>
      <c r="I160" s="113"/>
      <c r="V160" s="113"/>
      <c r="W160" s="92"/>
      <c r="X160" s="293"/>
      <c r="Y160" s="113"/>
    </row>
    <row r="161" spans="7:25" ht="12.75">
      <c r="G161" s="113"/>
      <c r="H161" s="113"/>
      <c r="I161" s="113"/>
      <c r="V161" s="113"/>
      <c r="W161" s="92"/>
      <c r="X161" s="293"/>
      <c r="Y161" s="113"/>
    </row>
    <row r="162" spans="7:25" ht="12.75">
      <c r="G162" s="113"/>
      <c r="H162" s="113"/>
      <c r="I162" s="113"/>
      <c r="V162" s="113"/>
      <c r="W162" s="92"/>
      <c r="X162" s="293"/>
      <c r="Y162" s="113"/>
    </row>
    <row r="163" spans="7:25" ht="12.75">
      <c r="G163" s="113"/>
      <c r="H163" s="113"/>
      <c r="I163" s="113"/>
      <c r="V163" s="113"/>
      <c r="W163" s="92"/>
      <c r="X163" s="293"/>
      <c r="Y163" s="113"/>
    </row>
    <row r="164" spans="7:25" ht="12.75">
      <c r="G164" s="113"/>
      <c r="H164" s="113"/>
      <c r="I164" s="113"/>
      <c r="V164" s="113"/>
      <c r="W164" s="92"/>
      <c r="X164" s="293"/>
      <c r="Y164" s="113"/>
    </row>
    <row r="165" spans="7:25" ht="12.75">
      <c r="G165" s="113"/>
      <c r="H165" s="113"/>
      <c r="I165" s="113"/>
      <c r="V165" s="113"/>
      <c r="W165" s="92"/>
      <c r="X165" s="293"/>
      <c r="Y165" s="113"/>
    </row>
    <row r="166" spans="7:25" ht="12.75">
      <c r="G166" s="113"/>
      <c r="H166" s="113"/>
      <c r="I166" s="113"/>
      <c r="V166" s="113"/>
      <c r="W166" s="92"/>
      <c r="X166" s="293"/>
      <c r="Y166" s="113"/>
    </row>
    <row r="167" spans="7:25" ht="12.75">
      <c r="G167" s="113"/>
      <c r="H167" s="113"/>
      <c r="I167" s="113"/>
      <c r="V167" s="113"/>
      <c r="W167" s="92"/>
      <c r="X167" s="293"/>
      <c r="Y167" s="113"/>
    </row>
    <row r="168" spans="7:25" ht="12.75">
      <c r="G168" s="113"/>
      <c r="H168" s="113"/>
      <c r="I168" s="113"/>
      <c r="V168" s="113"/>
      <c r="W168" s="92"/>
      <c r="X168" s="293"/>
      <c r="Y168" s="113"/>
    </row>
    <row r="169" spans="7:25" ht="12.75">
      <c r="G169" s="113"/>
      <c r="H169" s="113"/>
      <c r="I169" s="113"/>
      <c r="V169" s="113"/>
      <c r="W169" s="92"/>
      <c r="X169" s="293"/>
      <c r="Y169" s="113"/>
    </row>
    <row r="170" spans="7:25" ht="12.75">
      <c r="G170" s="113"/>
      <c r="H170" s="113"/>
      <c r="I170" s="113"/>
      <c r="V170" s="113"/>
      <c r="W170" s="92"/>
      <c r="X170" s="293"/>
      <c r="Y170" s="113"/>
    </row>
    <row r="171" spans="7:25" ht="12.75">
      <c r="G171" s="113"/>
      <c r="H171" s="113"/>
      <c r="I171" s="113"/>
      <c r="V171" s="113"/>
      <c r="W171" s="92"/>
      <c r="X171" s="293"/>
      <c r="Y171" s="113"/>
    </row>
    <row r="172" spans="7:25" ht="12.75">
      <c r="G172" s="113"/>
      <c r="H172" s="113"/>
      <c r="I172" s="113"/>
      <c r="V172" s="113"/>
      <c r="W172" s="92"/>
      <c r="X172" s="293"/>
      <c r="Y172" s="113"/>
    </row>
    <row r="173" spans="7:25" ht="12.75">
      <c r="G173" s="113"/>
      <c r="H173" s="113"/>
      <c r="I173" s="113"/>
      <c r="V173" s="113"/>
      <c r="W173" s="92"/>
      <c r="X173" s="293"/>
      <c r="Y173" s="113"/>
    </row>
    <row r="174" spans="7:25" ht="12.75">
      <c r="G174" s="113"/>
      <c r="H174" s="113"/>
      <c r="I174" s="113"/>
      <c r="V174" s="113"/>
      <c r="W174" s="92"/>
      <c r="X174" s="293"/>
      <c r="Y174" s="113"/>
    </row>
    <row r="175" spans="7:25" ht="12.75">
      <c r="G175" s="113"/>
      <c r="H175" s="113"/>
      <c r="I175" s="113"/>
      <c r="V175" s="113"/>
      <c r="W175" s="92"/>
      <c r="X175" s="293"/>
      <c r="Y175" s="113"/>
    </row>
    <row r="176" spans="7:25" ht="12.75">
      <c r="G176" s="113"/>
      <c r="H176" s="113"/>
      <c r="I176" s="113"/>
      <c r="V176" s="113"/>
      <c r="W176" s="92"/>
      <c r="X176" s="293"/>
      <c r="Y176" s="113"/>
    </row>
    <row r="177" spans="7:25" ht="12.75">
      <c r="G177" s="113"/>
      <c r="H177" s="113"/>
      <c r="I177" s="113"/>
      <c r="V177" s="113"/>
      <c r="W177" s="92"/>
      <c r="X177" s="293"/>
      <c r="Y177" s="113"/>
    </row>
    <row r="178" spans="7:25" ht="12.75">
      <c r="G178" s="113"/>
      <c r="H178" s="113"/>
      <c r="I178" s="113"/>
      <c r="V178" s="113"/>
      <c r="W178" s="92"/>
      <c r="X178" s="293"/>
      <c r="Y178" s="113"/>
    </row>
    <row r="179" spans="7:25" ht="12.75">
      <c r="G179" s="113"/>
      <c r="H179" s="113"/>
      <c r="I179" s="113"/>
      <c r="V179" s="113"/>
      <c r="W179" s="92"/>
      <c r="X179" s="293"/>
      <c r="Y179" s="113"/>
    </row>
    <row r="180" spans="7:25" ht="12.75">
      <c r="G180" s="113"/>
      <c r="H180" s="113"/>
      <c r="I180" s="113"/>
      <c r="V180" s="113"/>
      <c r="W180" s="92"/>
      <c r="X180" s="293"/>
      <c r="Y180" s="113"/>
    </row>
    <row r="181" spans="7:25" ht="12.75">
      <c r="G181" s="113"/>
      <c r="H181" s="113"/>
      <c r="I181" s="113"/>
      <c r="V181" s="113"/>
      <c r="W181" s="92"/>
      <c r="X181" s="293"/>
      <c r="Y181" s="113"/>
    </row>
    <row r="182" spans="7:25" ht="12.75">
      <c r="G182" s="113"/>
      <c r="H182" s="113"/>
      <c r="I182" s="113"/>
      <c r="V182" s="113"/>
      <c r="W182" s="92"/>
      <c r="X182" s="293"/>
      <c r="Y182" s="113"/>
    </row>
    <row r="183" spans="7:25" ht="12.75">
      <c r="G183" s="113"/>
      <c r="H183" s="113"/>
      <c r="I183" s="113"/>
      <c r="V183" s="113"/>
      <c r="W183" s="92"/>
      <c r="X183" s="293"/>
      <c r="Y183" s="113"/>
    </row>
    <row r="184" spans="7:25" ht="12.75">
      <c r="G184" s="113"/>
      <c r="H184" s="113"/>
      <c r="I184" s="113"/>
      <c r="V184" s="113"/>
      <c r="W184" s="92"/>
      <c r="X184" s="293"/>
      <c r="Y184" s="113"/>
    </row>
    <row r="185" spans="7:25" ht="12.75">
      <c r="G185" s="113"/>
      <c r="H185" s="113"/>
      <c r="I185" s="113"/>
      <c r="V185" s="113"/>
      <c r="W185" s="92"/>
      <c r="X185" s="293"/>
      <c r="Y185" s="113"/>
    </row>
    <row r="186" spans="7:25" ht="12.75">
      <c r="G186" s="113"/>
      <c r="H186" s="113"/>
      <c r="I186" s="113"/>
      <c r="V186" s="113"/>
      <c r="W186" s="92"/>
      <c r="X186" s="293"/>
      <c r="Y186" s="113"/>
    </row>
    <row r="187" spans="7:25" ht="12.75">
      <c r="G187" s="113"/>
      <c r="H187" s="113"/>
      <c r="I187" s="113"/>
      <c r="V187" s="113"/>
      <c r="W187" s="92"/>
      <c r="X187" s="293"/>
      <c r="Y187" s="113"/>
    </row>
    <row r="188" spans="7:25" ht="12.75">
      <c r="G188" s="113"/>
      <c r="H188" s="113"/>
      <c r="I188" s="113"/>
      <c r="V188" s="113"/>
      <c r="W188" s="92"/>
      <c r="X188" s="293"/>
      <c r="Y188" s="113"/>
    </row>
    <row r="189" spans="7:25" ht="12.75">
      <c r="G189" s="113"/>
      <c r="H189" s="113"/>
      <c r="I189" s="113"/>
      <c r="V189" s="113"/>
      <c r="W189" s="92"/>
      <c r="X189" s="293"/>
      <c r="Y189" s="113"/>
    </row>
    <row r="190" spans="7:25" ht="12.75">
      <c r="G190" s="113"/>
      <c r="H190" s="113"/>
      <c r="I190" s="113"/>
      <c r="V190" s="113"/>
      <c r="W190" s="92"/>
      <c r="X190" s="293"/>
      <c r="Y190" s="113"/>
    </row>
    <row r="191" spans="7:25" ht="12.75">
      <c r="G191" s="113"/>
      <c r="H191" s="113"/>
      <c r="I191" s="113"/>
      <c r="V191" s="113"/>
      <c r="W191" s="92"/>
      <c r="X191" s="293"/>
      <c r="Y191" s="113"/>
    </row>
    <row r="192" spans="7:25" ht="12.75">
      <c r="G192" s="113"/>
      <c r="H192" s="113"/>
      <c r="I192" s="113"/>
      <c r="V192" s="113"/>
      <c r="W192" s="92"/>
      <c r="X192" s="293"/>
      <c r="Y192" s="113"/>
    </row>
    <row r="193" spans="7:25" ht="12.75">
      <c r="G193" s="113"/>
      <c r="H193" s="113"/>
      <c r="I193" s="113"/>
      <c r="V193" s="113"/>
      <c r="W193" s="92"/>
      <c r="X193" s="293"/>
      <c r="Y193" s="113"/>
    </row>
    <row r="194" spans="7:25" ht="12.75">
      <c r="G194" s="113"/>
      <c r="H194" s="113"/>
      <c r="I194" s="113"/>
      <c r="V194" s="113"/>
      <c r="W194" s="92"/>
      <c r="X194" s="293"/>
      <c r="Y194" s="113"/>
    </row>
    <row r="195" spans="7:25" ht="12.75">
      <c r="G195" s="113"/>
      <c r="H195" s="113"/>
      <c r="I195" s="113"/>
      <c r="V195" s="113"/>
      <c r="W195" s="92"/>
      <c r="X195" s="293"/>
      <c r="Y195" s="113"/>
    </row>
    <row r="196" spans="7:25" ht="12.75">
      <c r="G196" s="113"/>
      <c r="H196" s="113"/>
      <c r="I196" s="113"/>
      <c r="V196" s="113"/>
      <c r="W196" s="92"/>
      <c r="X196" s="293"/>
      <c r="Y196" s="113"/>
    </row>
    <row r="197" spans="7:25" ht="12.75">
      <c r="G197" s="113"/>
      <c r="H197" s="113"/>
      <c r="I197" s="113"/>
      <c r="V197" s="113"/>
      <c r="W197" s="92"/>
      <c r="X197" s="293"/>
      <c r="Y197" s="113"/>
    </row>
    <row r="198" spans="7:25" ht="12.75">
      <c r="G198" s="113"/>
      <c r="H198" s="113"/>
      <c r="I198" s="113"/>
      <c r="V198" s="113"/>
      <c r="W198" s="92"/>
      <c r="X198" s="293"/>
      <c r="Y198" s="113"/>
    </row>
    <row r="199" spans="7:25" ht="12.75">
      <c r="G199" s="113"/>
      <c r="H199" s="113"/>
      <c r="I199" s="113"/>
      <c r="V199" s="113"/>
      <c r="W199" s="92"/>
      <c r="X199" s="293"/>
      <c r="Y199" s="113"/>
    </row>
    <row r="200" spans="7:25" ht="12.75">
      <c r="G200" s="113"/>
      <c r="H200" s="113"/>
      <c r="I200" s="113"/>
      <c r="V200" s="113"/>
      <c r="W200" s="92"/>
      <c r="X200" s="293"/>
      <c r="Y200" s="113"/>
    </row>
    <row r="201" spans="7:25" ht="12.75">
      <c r="G201" s="113"/>
      <c r="H201" s="113"/>
      <c r="I201" s="113"/>
      <c r="V201" s="113"/>
      <c r="W201" s="92"/>
      <c r="X201" s="293"/>
      <c r="Y201" s="113"/>
    </row>
    <row r="202" spans="7:25" ht="12.75">
      <c r="G202" s="113"/>
      <c r="H202" s="113"/>
      <c r="I202" s="113"/>
      <c r="V202" s="113"/>
      <c r="W202" s="92"/>
      <c r="X202" s="293"/>
      <c r="Y202" s="113"/>
    </row>
    <row r="203" spans="7:25" ht="12.75">
      <c r="G203" s="113"/>
      <c r="H203" s="113"/>
      <c r="I203" s="113"/>
      <c r="V203" s="113"/>
      <c r="W203" s="92"/>
      <c r="X203" s="293"/>
      <c r="Y203" s="113"/>
    </row>
    <row r="204" spans="7:25" ht="12.75">
      <c r="G204" s="113"/>
      <c r="H204" s="113"/>
      <c r="I204" s="113"/>
      <c r="V204" s="113"/>
      <c r="W204" s="92"/>
      <c r="X204" s="293"/>
      <c r="Y204" s="113"/>
    </row>
    <row r="205" spans="7:25" ht="12.75">
      <c r="G205" s="113"/>
      <c r="H205" s="113"/>
      <c r="I205" s="113"/>
      <c r="V205" s="113"/>
      <c r="W205" s="92"/>
      <c r="X205" s="293"/>
      <c r="Y205" s="113"/>
    </row>
    <row r="206" spans="7:25" ht="12.75">
      <c r="G206" s="113"/>
      <c r="H206" s="113"/>
      <c r="I206" s="113"/>
      <c r="V206" s="113"/>
      <c r="W206" s="92"/>
      <c r="X206" s="293"/>
      <c r="Y206" s="113"/>
    </row>
    <row r="207" spans="7:25" ht="12.75">
      <c r="G207" s="113"/>
      <c r="H207" s="113"/>
      <c r="I207" s="113"/>
      <c r="V207" s="113"/>
      <c r="W207" s="92"/>
      <c r="X207" s="293"/>
      <c r="Y207" s="113"/>
    </row>
    <row r="208" spans="7:25" ht="12.75">
      <c r="G208" s="113"/>
      <c r="H208" s="113"/>
      <c r="I208" s="113"/>
      <c r="V208" s="113"/>
      <c r="W208" s="92"/>
      <c r="X208" s="293"/>
      <c r="Y208" s="113"/>
    </row>
    <row r="209" spans="7:25" ht="12.75">
      <c r="G209" s="113"/>
      <c r="H209" s="113"/>
      <c r="I209" s="113"/>
      <c r="V209" s="113"/>
      <c r="W209" s="92"/>
      <c r="X209" s="293"/>
      <c r="Y209" s="113"/>
    </row>
    <row r="210" spans="7:25" ht="12.75">
      <c r="G210" s="113"/>
      <c r="H210" s="113"/>
      <c r="I210" s="113"/>
      <c r="V210" s="113"/>
      <c r="W210" s="92"/>
      <c r="X210" s="293"/>
      <c r="Y210" s="113"/>
    </row>
    <row r="211" spans="7:25" ht="12.75">
      <c r="G211" s="113"/>
      <c r="H211" s="113"/>
      <c r="I211" s="113"/>
      <c r="V211" s="113"/>
      <c r="W211" s="92"/>
      <c r="X211" s="293"/>
      <c r="Y211" s="113"/>
    </row>
    <row r="212" spans="7:25" ht="12.75">
      <c r="G212" s="113"/>
      <c r="H212" s="113"/>
      <c r="I212" s="113"/>
      <c r="V212" s="113"/>
      <c r="W212" s="92"/>
      <c r="X212" s="293"/>
      <c r="Y212" s="113"/>
    </row>
    <row r="213" spans="7:25" ht="12.75">
      <c r="G213" s="113"/>
      <c r="H213" s="113"/>
      <c r="I213" s="113"/>
      <c r="V213" s="113"/>
      <c r="W213" s="92"/>
      <c r="X213" s="293"/>
      <c r="Y213" s="113"/>
    </row>
    <row r="214" spans="7:25" ht="12.75">
      <c r="G214" s="113"/>
      <c r="H214" s="113"/>
      <c r="I214" s="113"/>
      <c r="V214" s="113"/>
      <c r="W214" s="92"/>
      <c r="X214" s="293"/>
      <c r="Y214" s="113"/>
    </row>
    <row r="215" spans="7:25" ht="12.75">
      <c r="G215" s="113"/>
      <c r="H215" s="113"/>
      <c r="I215" s="113"/>
      <c r="V215" s="113"/>
      <c r="W215" s="92"/>
      <c r="X215" s="293"/>
      <c r="Y215" s="113"/>
    </row>
    <row r="216" spans="7:25" ht="12.75">
      <c r="G216" s="113"/>
      <c r="H216" s="113"/>
      <c r="I216" s="113"/>
      <c r="V216" s="113"/>
      <c r="W216" s="92"/>
      <c r="X216" s="293"/>
      <c r="Y216" s="113"/>
    </row>
    <row r="217" spans="7:25" ht="12.75">
      <c r="G217" s="113"/>
      <c r="H217" s="113"/>
      <c r="I217" s="113"/>
      <c r="V217" s="113"/>
      <c r="W217" s="92"/>
      <c r="X217" s="293"/>
      <c r="Y217" s="113"/>
    </row>
    <row r="218" spans="7:25" ht="12.75">
      <c r="G218" s="113"/>
      <c r="H218" s="113"/>
      <c r="I218" s="113"/>
      <c r="V218" s="113"/>
      <c r="W218" s="92"/>
      <c r="X218" s="293"/>
      <c r="Y218" s="113"/>
    </row>
    <row r="219" spans="7:25" ht="12.75">
      <c r="G219" s="113"/>
      <c r="H219" s="113"/>
      <c r="I219" s="113"/>
      <c r="V219" s="113"/>
      <c r="W219" s="92"/>
      <c r="X219" s="293"/>
      <c r="Y219" s="113"/>
    </row>
    <row r="220" spans="7:25" ht="12.75">
      <c r="G220" s="113"/>
      <c r="H220" s="113"/>
      <c r="I220" s="113"/>
      <c r="V220" s="113"/>
      <c r="W220" s="92"/>
      <c r="X220" s="293"/>
      <c r="Y220" s="113"/>
    </row>
    <row r="221" spans="7:25" ht="12.75">
      <c r="G221" s="113"/>
      <c r="H221" s="113"/>
      <c r="I221" s="113"/>
      <c r="V221" s="113"/>
      <c r="W221" s="92"/>
      <c r="X221" s="293"/>
      <c r="Y221" s="113"/>
    </row>
    <row r="222" spans="7:25" ht="12.75">
      <c r="G222" s="113"/>
      <c r="H222" s="113"/>
      <c r="I222" s="113"/>
      <c r="V222" s="113"/>
      <c r="W222" s="92"/>
      <c r="X222" s="293"/>
      <c r="Y222" s="113"/>
    </row>
    <row r="223" spans="7:25" ht="12.75">
      <c r="G223" s="113"/>
      <c r="H223" s="113"/>
      <c r="I223" s="113"/>
      <c r="V223" s="113"/>
      <c r="W223" s="92"/>
      <c r="X223" s="293"/>
      <c r="Y223" s="113"/>
    </row>
    <row r="224" spans="7:25" ht="12.75">
      <c r="G224" s="113"/>
      <c r="H224" s="113"/>
      <c r="I224" s="113"/>
      <c r="V224" s="113"/>
      <c r="W224" s="92"/>
      <c r="X224" s="293"/>
      <c r="Y224" s="113"/>
    </row>
    <row r="225" spans="7:25" ht="12.75">
      <c r="G225" s="113"/>
      <c r="H225" s="113"/>
      <c r="I225" s="113"/>
      <c r="V225" s="113"/>
      <c r="W225" s="92"/>
      <c r="X225" s="293"/>
      <c r="Y225" s="113"/>
    </row>
    <row r="226" spans="7:25" ht="12.75">
      <c r="G226" s="113"/>
      <c r="H226" s="113"/>
      <c r="I226" s="113"/>
      <c r="V226" s="113"/>
      <c r="W226" s="92"/>
      <c r="X226" s="293"/>
      <c r="Y226" s="113"/>
    </row>
    <row r="227" spans="7:25" ht="12.75">
      <c r="G227" s="113"/>
      <c r="H227" s="113"/>
      <c r="I227" s="113"/>
      <c r="V227" s="113"/>
      <c r="W227" s="92"/>
      <c r="X227" s="293"/>
      <c r="Y227" s="113"/>
    </row>
    <row r="228" spans="7:25" ht="12.75">
      <c r="G228" s="113"/>
      <c r="H228" s="113"/>
      <c r="I228" s="113"/>
      <c r="V228" s="113"/>
      <c r="W228" s="92"/>
      <c r="X228" s="293"/>
      <c r="Y228" s="113"/>
    </row>
    <row r="229" spans="7:25" ht="12.75">
      <c r="G229" s="113"/>
      <c r="H229" s="113"/>
      <c r="I229" s="113"/>
      <c r="V229" s="113"/>
      <c r="W229" s="92"/>
      <c r="X229" s="293"/>
      <c r="Y229" s="113"/>
    </row>
    <row r="230" spans="7:25" ht="12.75">
      <c r="G230" s="113"/>
      <c r="H230" s="113"/>
      <c r="I230" s="113"/>
      <c r="V230" s="113"/>
      <c r="W230" s="92"/>
      <c r="X230" s="293"/>
      <c r="Y230" s="113"/>
    </row>
    <row r="231" spans="7:25" ht="12.75">
      <c r="G231" s="113"/>
      <c r="H231" s="113"/>
      <c r="I231" s="113"/>
      <c r="V231" s="113"/>
      <c r="W231" s="92"/>
      <c r="X231" s="293"/>
      <c r="Y231" s="113"/>
    </row>
    <row r="232" spans="7:25" ht="12.75">
      <c r="G232" s="113"/>
      <c r="H232" s="113"/>
      <c r="I232" s="113"/>
      <c r="V232" s="113"/>
      <c r="W232" s="92"/>
      <c r="X232" s="293"/>
      <c r="Y232" s="113"/>
    </row>
    <row r="233" spans="7:25" ht="12.75">
      <c r="G233" s="113"/>
      <c r="H233" s="113"/>
      <c r="I233" s="113"/>
      <c r="V233" s="113"/>
      <c r="W233" s="92"/>
      <c r="X233" s="293"/>
      <c r="Y233" s="113"/>
    </row>
    <row r="234" spans="7:25" ht="12.75">
      <c r="G234" s="113"/>
      <c r="H234" s="113"/>
      <c r="I234" s="113"/>
      <c r="V234" s="113"/>
      <c r="W234" s="92"/>
      <c r="X234" s="293"/>
      <c r="Y234" s="113"/>
    </row>
    <row r="235" spans="7:25" ht="12.75">
      <c r="G235" s="113"/>
      <c r="H235" s="113"/>
      <c r="I235" s="113"/>
      <c r="V235" s="113"/>
      <c r="W235" s="92"/>
      <c r="X235" s="293"/>
      <c r="Y235" s="113"/>
    </row>
    <row r="236" spans="7:25" ht="12.75">
      <c r="G236" s="113"/>
      <c r="H236" s="113"/>
      <c r="I236" s="113"/>
      <c r="V236" s="113"/>
      <c r="W236" s="92"/>
      <c r="X236" s="293"/>
      <c r="Y236" s="113"/>
    </row>
    <row r="237" spans="7:25" ht="12.75">
      <c r="G237" s="113"/>
      <c r="H237" s="113"/>
      <c r="I237" s="113"/>
      <c r="V237" s="113"/>
      <c r="W237" s="92"/>
      <c r="X237" s="293"/>
      <c r="Y237" s="113"/>
    </row>
    <row r="238" spans="7:25" ht="12.75">
      <c r="G238" s="113"/>
      <c r="H238" s="113"/>
      <c r="I238" s="113"/>
      <c r="V238" s="113"/>
      <c r="W238" s="92"/>
      <c r="X238" s="293"/>
      <c r="Y238" s="113"/>
    </row>
    <row r="239" spans="7:25" ht="12.75">
      <c r="G239" s="113"/>
      <c r="H239" s="113"/>
      <c r="I239" s="113"/>
      <c r="V239" s="113"/>
      <c r="W239" s="92"/>
      <c r="X239" s="293"/>
      <c r="Y239" s="113"/>
    </row>
    <row r="240" spans="7:25" ht="12.75">
      <c r="G240" s="113"/>
      <c r="H240" s="113"/>
      <c r="I240" s="113"/>
      <c r="V240" s="113"/>
      <c r="W240" s="92"/>
      <c r="X240" s="293"/>
      <c r="Y240" s="113"/>
    </row>
    <row r="241" spans="7:25" ht="12.75">
      <c r="G241" s="113"/>
      <c r="H241" s="113"/>
      <c r="I241" s="113"/>
      <c r="V241" s="113"/>
      <c r="W241" s="92"/>
      <c r="X241" s="293"/>
      <c r="Y241" s="113"/>
    </row>
    <row r="242" spans="7:25" ht="12.75">
      <c r="G242" s="113"/>
      <c r="H242" s="113"/>
      <c r="I242" s="113"/>
      <c r="V242" s="113"/>
      <c r="W242" s="92"/>
      <c r="X242" s="293"/>
      <c r="Y242" s="113"/>
    </row>
    <row r="243" spans="7:25" ht="12.75">
      <c r="G243" s="113"/>
      <c r="H243" s="113"/>
      <c r="I243" s="113"/>
      <c r="V243" s="113"/>
      <c r="W243" s="92"/>
      <c r="X243" s="293"/>
      <c r="Y243" s="113"/>
    </row>
    <row r="244" spans="7:25" ht="12.75">
      <c r="G244" s="113"/>
      <c r="H244" s="113"/>
      <c r="I244" s="113"/>
      <c r="V244" s="113"/>
      <c r="W244" s="92"/>
      <c r="X244" s="293"/>
      <c r="Y244" s="113"/>
    </row>
    <row r="245" spans="7:25" ht="12.75">
      <c r="G245" s="113"/>
      <c r="H245" s="113"/>
      <c r="I245" s="113"/>
      <c r="V245" s="113"/>
      <c r="W245" s="92"/>
      <c r="X245" s="293"/>
      <c r="Y245" s="113"/>
    </row>
    <row r="246" spans="7:25" ht="12.75">
      <c r="G246" s="113"/>
      <c r="H246" s="113"/>
      <c r="I246" s="113"/>
      <c r="V246" s="113"/>
      <c r="W246" s="92"/>
      <c r="X246" s="293"/>
      <c r="Y246" s="113"/>
    </row>
    <row r="247" spans="7:25" ht="12.75">
      <c r="G247" s="113"/>
      <c r="H247" s="113"/>
      <c r="I247" s="113"/>
      <c r="V247" s="113"/>
      <c r="W247" s="92"/>
      <c r="X247" s="293"/>
      <c r="Y247" s="113"/>
    </row>
    <row r="248" spans="7:25" ht="12.75">
      <c r="G248" s="113"/>
      <c r="H248" s="113"/>
      <c r="I248" s="113"/>
      <c r="V248" s="113"/>
      <c r="W248" s="92"/>
      <c r="X248" s="293"/>
      <c r="Y248" s="113"/>
    </row>
    <row r="249" spans="7:25" ht="12.75">
      <c r="G249" s="113"/>
      <c r="H249" s="113"/>
      <c r="I249" s="113"/>
      <c r="V249" s="113"/>
      <c r="W249" s="92"/>
      <c r="X249" s="293"/>
      <c r="Y249" s="113"/>
    </row>
    <row r="250" spans="7:25" ht="12.75">
      <c r="G250" s="113"/>
      <c r="H250" s="113"/>
      <c r="I250" s="113"/>
      <c r="V250" s="113"/>
      <c r="W250" s="92"/>
      <c r="X250" s="293"/>
      <c r="Y250" s="113"/>
    </row>
    <row r="251" spans="7:25" ht="12.75">
      <c r="G251" s="113"/>
      <c r="H251" s="113"/>
      <c r="I251" s="113"/>
      <c r="V251" s="113"/>
      <c r="W251" s="92"/>
      <c r="X251" s="293"/>
      <c r="Y251" s="113"/>
    </row>
    <row r="252" spans="7:25" ht="12.75">
      <c r="G252" s="113"/>
      <c r="H252" s="113"/>
      <c r="I252" s="113"/>
      <c r="V252" s="113"/>
      <c r="W252" s="92"/>
      <c r="X252" s="293"/>
      <c r="Y252" s="113"/>
    </row>
    <row r="253" spans="7:25" ht="12.75">
      <c r="G253" s="113"/>
      <c r="H253" s="113"/>
      <c r="I253" s="113"/>
      <c r="V253" s="113"/>
      <c r="W253" s="92"/>
      <c r="X253" s="293"/>
      <c r="Y253" s="113"/>
    </row>
    <row r="254" spans="7:25" ht="12.75">
      <c r="G254" s="113"/>
      <c r="H254" s="113"/>
      <c r="I254" s="113"/>
      <c r="V254" s="113"/>
      <c r="W254" s="92"/>
      <c r="X254" s="293"/>
      <c r="Y254" s="113"/>
    </row>
    <row r="255" spans="7:25" ht="12.75">
      <c r="G255" s="113"/>
      <c r="H255" s="113"/>
      <c r="I255" s="113"/>
      <c r="V255" s="113"/>
      <c r="W255" s="92"/>
      <c r="X255" s="293"/>
      <c r="Y255" s="113"/>
    </row>
    <row r="256" spans="7:25" ht="12.75">
      <c r="G256" s="113"/>
      <c r="H256" s="113"/>
      <c r="I256" s="113"/>
      <c r="V256" s="113"/>
      <c r="W256" s="92"/>
      <c r="X256" s="293"/>
      <c r="Y256" s="113"/>
    </row>
    <row r="257" spans="7:25" ht="12.75">
      <c r="G257" s="113"/>
      <c r="H257" s="113"/>
      <c r="I257" s="113"/>
      <c r="V257" s="113"/>
      <c r="W257" s="92"/>
      <c r="X257" s="293"/>
      <c r="Y257" s="113"/>
    </row>
    <row r="258" spans="7:25" ht="12.75">
      <c r="G258" s="113"/>
      <c r="H258" s="113"/>
      <c r="I258" s="113"/>
      <c r="V258" s="113"/>
      <c r="W258" s="92"/>
      <c r="X258" s="293"/>
      <c r="Y258" s="113"/>
    </row>
    <row r="259" spans="7:25" ht="12.75">
      <c r="G259" s="113"/>
      <c r="H259" s="113"/>
      <c r="I259" s="113"/>
      <c r="V259" s="113"/>
      <c r="W259" s="92"/>
      <c r="X259" s="293"/>
      <c r="Y259" s="113"/>
    </row>
    <row r="260" spans="7:25" ht="12.75">
      <c r="G260" s="113"/>
      <c r="H260" s="113"/>
      <c r="I260" s="113"/>
      <c r="V260" s="113"/>
      <c r="W260" s="92"/>
      <c r="X260" s="293"/>
      <c r="Y260" s="113"/>
    </row>
    <row r="261" spans="7:25" ht="12.75">
      <c r="G261" s="113"/>
      <c r="H261" s="113"/>
      <c r="I261" s="113"/>
      <c r="V261" s="113"/>
      <c r="W261" s="92"/>
      <c r="X261" s="293"/>
      <c r="Y261" s="113"/>
    </row>
    <row r="262" spans="7:25" ht="12.75">
      <c r="G262" s="113"/>
      <c r="H262" s="113"/>
      <c r="I262" s="113"/>
      <c r="V262" s="113"/>
      <c r="W262" s="92"/>
      <c r="X262" s="293"/>
      <c r="Y262" s="113"/>
    </row>
    <row r="263" spans="7:25" ht="12.75">
      <c r="G263" s="113"/>
      <c r="H263" s="113"/>
      <c r="I263" s="113"/>
      <c r="V263" s="113"/>
      <c r="W263" s="92"/>
      <c r="X263" s="293"/>
      <c r="Y263" s="113"/>
    </row>
    <row r="264" spans="7:25" ht="12.75">
      <c r="G264" s="113"/>
      <c r="H264" s="113"/>
      <c r="I264" s="113"/>
      <c r="V264" s="113"/>
      <c r="W264" s="92"/>
      <c r="X264" s="293"/>
      <c r="Y264" s="113"/>
    </row>
    <row r="265" spans="7:25" ht="12.75">
      <c r="G265" s="113"/>
      <c r="H265" s="113"/>
      <c r="I265" s="113"/>
      <c r="V265" s="113"/>
      <c r="W265" s="92"/>
      <c r="X265" s="293"/>
      <c r="Y265" s="113"/>
    </row>
    <row r="266" spans="7:25" ht="12.75">
      <c r="G266" s="113"/>
      <c r="H266" s="113"/>
      <c r="I266" s="113"/>
      <c r="V266" s="113"/>
      <c r="W266" s="92"/>
      <c r="X266" s="293"/>
      <c r="Y266" s="113"/>
    </row>
    <row r="267" spans="7:25" ht="12.75">
      <c r="G267" s="113"/>
      <c r="H267" s="113"/>
      <c r="I267" s="113"/>
      <c r="V267" s="113"/>
      <c r="W267" s="92"/>
      <c r="X267" s="293"/>
      <c r="Y267" s="113"/>
    </row>
    <row r="268" spans="7:25" ht="12.75">
      <c r="G268" s="113"/>
      <c r="H268" s="113"/>
      <c r="I268" s="113"/>
      <c r="V268" s="113"/>
      <c r="W268" s="92"/>
      <c r="X268" s="293"/>
      <c r="Y268" s="113"/>
    </row>
    <row r="269" spans="7:25" ht="12.75">
      <c r="G269" s="113"/>
      <c r="H269" s="113"/>
      <c r="I269" s="113"/>
      <c r="V269" s="113"/>
      <c r="W269" s="92"/>
      <c r="X269" s="293"/>
      <c r="Y269" s="113"/>
    </row>
    <row r="270" spans="7:25" ht="12.75">
      <c r="G270" s="113"/>
      <c r="H270" s="113"/>
      <c r="I270" s="113"/>
      <c r="V270" s="113"/>
      <c r="W270" s="92"/>
      <c r="X270" s="293"/>
      <c r="Y270" s="113"/>
    </row>
    <row r="271" spans="7:25" ht="12.75">
      <c r="G271" s="113"/>
      <c r="H271" s="113"/>
      <c r="I271" s="113"/>
      <c r="V271" s="113"/>
      <c r="W271" s="92"/>
      <c r="X271" s="293"/>
      <c r="Y271" s="113"/>
    </row>
    <row r="272" spans="7:25" ht="12.75">
      <c r="G272" s="113"/>
      <c r="H272" s="113"/>
      <c r="I272" s="113"/>
      <c r="V272" s="113"/>
      <c r="W272" s="92"/>
      <c r="X272" s="293"/>
      <c r="Y272" s="113"/>
    </row>
    <row r="273" spans="7:25" ht="12.75">
      <c r="G273" s="113"/>
      <c r="H273" s="113"/>
      <c r="I273" s="113"/>
      <c r="V273" s="113"/>
      <c r="W273" s="92"/>
      <c r="X273" s="293"/>
      <c r="Y273" s="113"/>
    </row>
    <row r="274" spans="7:25" ht="12.75">
      <c r="G274" s="113"/>
      <c r="H274" s="113"/>
      <c r="I274" s="113"/>
      <c r="V274" s="113"/>
      <c r="W274" s="92"/>
      <c r="X274" s="293"/>
      <c r="Y274" s="113"/>
    </row>
    <row r="275" spans="7:25" ht="12.75">
      <c r="G275" s="113"/>
      <c r="H275" s="113"/>
      <c r="I275" s="113"/>
      <c r="V275" s="113"/>
      <c r="W275" s="92"/>
      <c r="X275" s="293"/>
      <c r="Y275" s="113"/>
    </row>
    <row r="276" spans="7:25" ht="12.75">
      <c r="G276" s="113"/>
      <c r="H276" s="113"/>
      <c r="I276" s="113"/>
      <c r="V276" s="113"/>
      <c r="W276" s="92"/>
      <c r="X276" s="293"/>
      <c r="Y276" s="113"/>
    </row>
    <row r="277" spans="7:25" ht="12.75">
      <c r="G277" s="113"/>
      <c r="H277" s="113"/>
      <c r="I277" s="113"/>
      <c r="V277" s="113"/>
      <c r="W277" s="92"/>
      <c r="X277" s="293"/>
      <c r="Y277" s="113"/>
    </row>
    <row r="278" spans="7:25" ht="12.75">
      <c r="G278" s="113"/>
      <c r="H278" s="113"/>
      <c r="I278" s="113"/>
      <c r="V278" s="113"/>
      <c r="W278" s="92"/>
      <c r="X278" s="293"/>
      <c r="Y278" s="113"/>
    </row>
    <row r="279" spans="7:25" ht="12.75">
      <c r="G279" s="113"/>
      <c r="H279" s="113"/>
      <c r="I279" s="113"/>
      <c r="V279" s="113"/>
      <c r="W279" s="92"/>
      <c r="X279" s="293"/>
      <c r="Y279" s="113"/>
    </row>
    <row r="280" spans="7:25" ht="12.75">
      <c r="G280" s="113"/>
      <c r="H280" s="113"/>
      <c r="I280" s="113"/>
      <c r="V280" s="113"/>
      <c r="W280" s="92"/>
      <c r="X280" s="293"/>
      <c r="Y280" s="113"/>
    </row>
    <row r="281" spans="7:25" ht="12.75">
      <c r="G281" s="113"/>
      <c r="H281" s="113"/>
      <c r="I281" s="113"/>
      <c r="V281" s="113"/>
      <c r="W281" s="92"/>
      <c r="X281" s="293"/>
      <c r="Y281" s="113"/>
    </row>
    <row r="282" spans="7:25" ht="12.75">
      <c r="G282" s="113"/>
      <c r="H282" s="113"/>
      <c r="I282" s="113"/>
      <c r="V282" s="113"/>
      <c r="W282" s="92"/>
      <c r="X282" s="293"/>
      <c r="Y282" s="113"/>
    </row>
    <row r="283" spans="7:25" ht="12.75">
      <c r="G283" s="113"/>
      <c r="H283" s="113"/>
      <c r="I283" s="113"/>
      <c r="V283" s="113"/>
      <c r="W283" s="92"/>
      <c r="X283" s="293"/>
      <c r="Y283" s="113"/>
    </row>
    <row r="284" spans="7:25" ht="12.75">
      <c r="G284" s="113"/>
      <c r="H284" s="113"/>
      <c r="I284" s="113"/>
      <c r="V284" s="113"/>
      <c r="W284" s="92"/>
      <c r="X284" s="293"/>
      <c r="Y284" s="113"/>
    </row>
    <row r="285" spans="7:25" ht="12.75">
      <c r="G285" s="113"/>
      <c r="H285" s="113"/>
      <c r="I285" s="113"/>
      <c r="V285" s="113"/>
      <c r="W285" s="92"/>
      <c r="X285" s="293"/>
      <c r="Y285" s="113"/>
    </row>
    <row r="286" spans="7:25" ht="12.75">
      <c r="G286" s="113"/>
      <c r="H286" s="113"/>
      <c r="I286" s="113"/>
      <c r="V286" s="113"/>
      <c r="W286" s="92"/>
      <c r="X286" s="293"/>
      <c r="Y286" s="113"/>
    </row>
    <row r="287" spans="7:25" ht="12.75">
      <c r="G287" s="113"/>
      <c r="H287" s="113"/>
      <c r="I287" s="113"/>
      <c r="V287" s="113"/>
      <c r="W287" s="92"/>
      <c r="X287" s="293"/>
      <c r="Y287" s="113"/>
    </row>
    <row r="288" spans="7:25" ht="12.75">
      <c r="G288" s="113"/>
      <c r="H288" s="113"/>
      <c r="I288" s="113"/>
      <c r="V288" s="113"/>
      <c r="W288" s="92"/>
      <c r="X288" s="293"/>
      <c r="Y288" s="113"/>
    </row>
    <row r="289" spans="7:25" ht="12.75">
      <c r="G289" s="113"/>
      <c r="H289" s="113"/>
      <c r="I289" s="113"/>
      <c r="V289" s="113"/>
      <c r="W289" s="92"/>
      <c r="X289" s="293"/>
      <c r="Y289" s="113"/>
    </row>
    <row r="290" spans="7:25" ht="12.75">
      <c r="G290" s="113"/>
      <c r="H290" s="113"/>
      <c r="I290" s="113"/>
      <c r="V290" s="113"/>
      <c r="W290" s="92"/>
      <c r="X290" s="293"/>
      <c r="Y290" s="113"/>
    </row>
    <row r="291" spans="7:25" ht="12.75">
      <c r="G291" s="113"/>
      <c r="H291" s="113"/>
      <c r="I291" s="113"/>
      <c r="V291" s="113"/>
      <c r="W291" s="92"/>
      <c r="X291" s="293"/>
      <c r="Y291" s="113"/>
    </row>
    <row r="292" spans="7:25" ht="12.75">
      <c r="G292" s="113"/>
      <c r="H292" s="113"/>
      <c r="I292" s="113"/>
      <c r="V292" s="113"/>
      <c r="W292" s="92"/>
      <c r="X292" s="293"/>
      <c r="Y292" s="113"/>
    </row>
    <row r="293" spans="7:25" ht="12.75">
      <c r="G293" s="113"/>
      <c r="H293" s="113"/>
      <c r="I293" s="113"/>
      <c r="V293" s="113"/>
      <c r="W293" s="92"/>
      <c r="X293" s="293"/>
      <c r="Y293" s="113"/>
    </row>
    <row r="294" spans="7:25" ht="12.75">
      <c r="G294" s="113"/>
      <c r="H294" s="113"/>
      <c r="I294" s="113"/>
      <c r="V294" s="113"/>
      <c r="W294" s="92"/>
      <c r="X294" s="293"/>
      <c r="Y294" s="113"/>
    </row>
    <row r="295" spans="7:25" ht="12.75">
      <c r="G295" s="113"/>
      <c r="H295" s="113"/>
      <c r="I295" s="113"/>
      <c r="V295" s="113"/>
      <c r="W295" s="92"/>
      <c r="X295" s="293"/>
      <c r="Y295" s="113"/>
    </row>
    <row r="296" spans="7:25" ht="12.75">
      <c r="G296" s="113"/>
      <c r="H296" s="113"/>
      <c r="I296" s="113"/>
      <c r="V296" s="113"/>
      <c r="W296" s="92"/>
      <c r="X296" s="293"/>
      <c r="Y296" s="113"/>
    </row>
    <row r="297" spans="7:25" ht="12.75">
      <c r="G297" s="113"/>
      <c r="H297" s="113"/>
      <c r="I297" s="113"/>
      <c r="V297" s="113"/>
      <c r="W297" s="92"/>
      <c r="X297" s="293"/>
      <c r="Y297" s="113"/>
    </row>
    <row r="298" spans="7:25" ht="12.75">
      <c r="G298" s="113"/>
      <c r="H298" s="113"/>
      <c r="I298" s="113"/>
      <c r="V298" s="113"/>
      <c r="W298" s="92"/>
      <c r="X298" s="293"/>
      <c r="Y298" s="113"/>
    </row>
    <row r="299" spans="7:25" ht="12.75">
      <c r="G299" s="113"/>
      <c r="H299" s="113"/>
      <c r="I299" s="113"/>
      <c r="V299" s="113"/>
      <c r="W299" s="92"/>
      <c r="X299" s="293"/>
      <c r="Y299" s="113"/>
    </row>
    <row r="300" spans="7:25" ht="12.75">
      <c r="G300" s="113"/>
      <c r="H300" s="113"/>
      <c r="I300" s="113"/>
      <c r="V300" s="113"/>
      <c r="W300" s="92"/>
      <c r="X300" s="293"/>
      <c r="Y300" s="113"/>
    </row>
    <row r="301" spans="7:25" ht="12.75">
      <c r="G301" s="113"/>
      <c r="H301" s="113"/>
      <c r="I301" s="113"/>
      <c r="V301" s="113"/>
      <c r="W301" s="92"/>
      <c r="X301" s="293"/>
      <c r="Y301" s="113"/>
    </row>
    <row r="302" spans="7:25" ht="12.75">
      <c r="G302" s="113"/>
      <c r="H302" s="113"/>
      <c r="I302" s="113"/>
      <c r="V302" s="113"/>
      <c r="W302" s="92"/>
      <c r="X302" s="293"/>
      <c r="Y302" s="113"/>
    </row>
    <row r="303" spans="7:25" ht="12.75">
      <c r="G303" s="113"/>
      <c r="H303" s="113"/>
      <c r="I303" s="113"/>
      <c r="V303" s="113"/>
      <c r="W303" s="92"/>
      <c r="X303" s="293"/>
      <c r="Y303" s="113"/>
    </row>
    <row r="304" spans="7:25" ht="12.75">
      <c r="G304" s="113"/>
      <c r="H304" s="113"/>
      <c r="I304" s="113"/>
      <c r="V304" s="113"/>
      <c r="W304" s="92"/>
      <c r="X304" s="293"/>
      <c r="Y304" s="113"/>
    </row>
    <row r="305" spans="7:25" ht="12.75">
      <c r="G305" s="113"/>
      <c r="H305" s="113"/>
      <c r="I305" s="113"/>
      <c r="V305" s="113"/>
      <c r="W305" s="92"/>
      <c r="X305" s="293"/>
      <c r="Y305" s="113"/>
    </row>
    <row r="306" spans="7:25" ht="12.75">
      <c r="G306" s="113"/>
      <c r="H306" s="113"/>
      <c r="I306" s="113"/>
      <c r="V306" s="113"/>
      <c r="W306" s="92"/>
      <c r="X306" s="293"/>
      <c r="Y306" s="113"/>
    </row>
    <row r="307" spans="7:25" ht="12.75">
      <c r="G307" s="113"/>
      <c r="H307" s="113"/>
      <c r="I307" s="113"/>
      <c r="V307" s="113"/>
      <c r="W307" s="92"/>
      <c r="X307" s="293"/>
      <c r="Y307" s="113"/>
    </row>
    <row r="308" spans="7:25" ht="12.75">
      <c r="G308" s="113"/>
      <c r="H308" s="113"/>
      <c r="I308" s="113"/>
      <c r="V308" s="113"/>
      <c r="W308" s="92"/>
      <c r="X308" s="293"/>
      <c r="Y308" s="113"/>
    </row>
    <row r="309" spans="7:25" ht="12.75">
      <c r="G309" s="113"/>
      <c r="H309" s="113"/>
      <c r="I309" s="113"/>
      <c r="V309" s="113"/>
      <c r="W309" s="92"/>
      <c r="X309" s="293"/>
      <c r="Y309" s="113"/>
    </row>
    <row r="310" spans="7:25" ht="12.75">
      <c r="G310" s="113"/>
      <c r="H310" s="113"/>
      <c r="I310" s="113"/>
      <c r="V310" s="113"/>
      <c r="W310" s="92"/>
      <c r="X310" s="293"/>
      <c r="Y310" s="113"/>
    </row>
    <row r="311" spans="7:25" ht="12.75">
      <c r="G311" s="113"/>
      <c r="H311" s="113"/>
      <c r="I311" s="113"/>
      <c r="V311" s="113"/>
      <c r="W311" s="92"/>
      <c r="X311" s="293"/>
      <c r="Y311" s="113"/>
    </row>
    <row r="312" spans="7:25" ht="12.75">
      <c r="G312" s="113"/>
      <c r="H312" s="113"/>
      <c r="I312" s="113"/>
      <c r="V312" s="113"/>
      <c r="W312" s="92"/>
      <c r="X312" s="293"/>
      <c r="Y312" s="113"/>
    </row>
    <row r="313" spans="7:25" ht="12.75">
      <c r="G313" s="113"/>
      <c r="H313" s="113"/>
      <c r="I313" s="113"/>
      <c r="V313" s="113"/>
      <c r="W313" s="92"/>
      <c r="X313" s="293"/>
      <c r="Y313" s="113"/>
    </row>
    <row r="314" spans="7:25" ht="12.75">
      <c r="G314" s="113"/>
      <c r="H314" s="113"/>
      <c r="I314" s="113"/>
      <c r="V314" s="113"/>
      <c r="W314" s="92"/>
      <c r="X314" s="293"/>
      <c r="Y314" s="113"/>
    </row>
    <row r="315" spans="7:25" ht="12.75">
      <c r="G315" s="113"/>
      <c r="H315" s="113"/>
      <c r="I315" s="113"/>
      <c r="V315" s="113"/>
      <c r="W315" s="92"/>
      <c r="X315" s="293"/>
      <c r="Y315" s="113"/>
    </row>
    <row r="316" spans="7:25" ht="12.75">
      <c r="G316" s="113"/>
      <c r="H316" s="113"/>
      <c r="I316" s="113"/>
      <c r="V316" s="113"/>
      <c r="W316" s="92"/>
      <c r="X316" s="293"/>
      <c r="Y316" s="113"/>
    </row>
    <row r="317" spans="7:25" ht="12.75">
      <c r="G317" s="113"/>
      <c r="H317" s="113"/>
      <c r="I317" s="113"/>
      <c r="V317" s="113"/>
      <c r="W317" s="92"/>
      <c r="X317" s="293"/>
      <c r="Y317" s="113"/>
    </row>
    <row r="318" spans="7:25" ht="12.75">
      <c r="G318" s="113"/>
      <c r="H318" s="113"/>
      <c r="I318" s="113"/>
      <c r="V318" s="113"/>
      <c r="W318" s="92"/>
      <c r="X318" s="293"/>
      <c r="Y318" s="113"/>
    </row>
    <row r="319" spans="7:25" ht="12.75">
      <c r="G319" s="113"/>
      <c r="H319" s="113"/>
      <c r="I319" s="113"/>
      <c r="V319" s="113"/>
      <c r="W319" s="92"/>
      <c r="X319" s="293"/>
      <c r="Y319" s="113"/>
    </row>
    <row r="320" spans="7:25" ht="12.75">
      <c r="G320" s="113"/>
      <c r="H320" s="113"/>
      <c r="I320" s="113"/>
      <c r="V320" s="113"/>
      <c r="W320" s="92"/>
      <c r="X320" s="293"/>
      <c r="Y320" s="113"/>
    </row>
    <row r="321" spans="7:25" ht="12.75">
      <c r="G321" s="113"/>
      <c r="H321" s="113"/>
      <c r="I321" s="113"/>
      <c r="V321" s="113"/>
      <c r="W321" s="92"/>
      <c r="X321" s="293"/>
      <c r="Y321" s="113"/>
    </row>
    <row r="322" spans="7:25" ht="12.75">
      <c r="G322" s="113"/>
      <c r="H322" s="113"/>
      <c r="I322" s="113"/>
      <c r="V322" s="113"/>
      <c r="W322" s="92"/>
      <c r="X322" s="293"/>
      <c r="Y322" s="113"/>
    </row>
    <row r="323" spans="7:25" ht="12.75">
      <c r="G323" s="113"/>
      <c r="H323" s="113"/>
      <c r="I323" s="113"/>
      <c r="V323" s="113"/>
      <c r="W323" s="92"/>
      <c r="X323" s="293"/>
      <c r="Y323" s="113"/>
    </row>
    <row r="324" spans="7:25" ht="12.75">
      <c r="G324" s="113"/>
      <c r="H324" s="113"/>
      <c r="I324" s="113"/>
      <c r="V324" s="113"/>
      <c r="W324" s="92"/>
      <c r="X324" s="293"/>
      <c r="Y324" s="113"/>
    </row>
    <row r="325" spans="7:25" ht="12.75">
      <c r="G325" s="113"/>
      <c r="H325" s="113"/>
      <c r="I325" s="113"/>
      <c r="V325" s="113"/>
      <c r="W325" s="92"/>
      <c r="X325" s="293"/>
      <c r="Y325" s="113"/>
    </row>
    <row r="326" spans="7:25" ht="12.75">
      <c r="G326" s="113"/>
      <c r="H326" s="113"/>
      <c r="I326" s="113"/>
      <c r="V326" s="113"/>
      <c r="W326" s="92"/>
      <c r="X326" s="293"/>
      <c r="Y326" s="113"/>
    </row>
    <row r="327" spans="7:25" ht="12.75">
      <c r="G327" s="113"/>
      <c r="H327" s="113"/>
      <c r="I327" s="113"/>
      <c r="V327" s="113"/>
      <c r="W327" s="92"/>
      <c r="X327" s="293"/>
      <c r="Y327" s="113"/>
    </row>
    <row r="328" spans="7:25" ht="12.75">
      <c r="G328" s="113"/>
      <c r="H328" s="113"/>
      <c r="I328" s="113"/>
      <c r="V328" s="113"/>
      <c r="W328" s="92"/>
      <c r="X328" s="293"/>
      <c r="Y328" s="113"/>
    </row>
    <row r="329" spans="7:25" ht="12.75">
      <c r="G329" s="113"/>
      <c r="H329" s="113"/>
      <c r="I329" s="113"/>
      <c r="V329" s="113"/>
      <c r="W329" s="92"/>
      <c r="X329" s="293"/>
      <c r="Y329" s="113"/>
    </row>
    <row r="330" spans="7:25" ht="12.75">
      <c r="G330" s="113"/>
      <c r="H330" s="113"/>
      <c r="I330" s="113"/>
      <c r="V330" s="113"/>
      <c r="W330" s="92"/>
      <c r="X330" s="293"/>
      <c r="Y330" s="113"/>
    </row>
    <row r="331" spans="7:25" ht="12.75">
      <c r="G331" s="113"/>
      <c r="H331" s="113"/>
      <c r="I331" s="113"/>
      <c r="V331" s="113"/>
      <c r="W331" s="92"/>
      <c r="X331" s="293"/>
      <c r="Y331" s="113"/>
    </row>
    <row r="332" spans="7:25" ht="12.75">
      <c r="G332" s="113"/>
      <c r="H332" s="113"/>
      <c r="I332" s="113"/>
      <c r="V332" s="113"/>
      <c r="W332" s="92"/>
      <c r="X332" s="293"/>
      <c r="Y332" s="113"/>
    </row>
    <row r="333" spans="7:25" ht="12.75">
      <c r="G333" s="113"/>
      <c r="H333" s="113"/>
      <c r="I333" s="113"/>
      <c r="V333" s="113"/>
      <c r="W333" s="92"/>
      <c r="X333" s="293"/>
      <c r="Y333" s="113"/>
    </row>
    <row r="334" spans="7:25" ht="12.75">
      <c r="G334" s="113"/>
      <c r="H334" s="113"/>
      <c r="I334" s="113"/>
      <c r="V334" s="113"/>
      <c r="W334" s="92"/>
      <c r="X334" s="293"/>
      <c r="Y334" s="113"/>
    </row>
    <row r="335" spans="7:25" ht="12.75">
      <c r="G335" s="113"/>
      <c r="H335" s="113"/>
      <c r="I335" s="113"/>
      <c r="V335" s="113"/>
      <c r="W335" s="92"/>
      <c r="X335" s="293"/>
      <c r="Y335" s="113"/>
    </row>
    <row r="336" spans="7:25" ht="12.75">
      <c r="G336" s="113"/>
      <c r="H336" s="113"/>
      <c r="I336" s="113"/>
      <c r="V336" s="113"/>
      <c r="W336" s="92"/>
      <c r="X336" s="293"/>
      <c r="Y336" s="113"/>
    </row>
    <row r="337" spans="7:25" ht="12.75">
      <c r="G337" s="113"/>
      <c r="H337" s="113"/>
      <c r="I337" s="113"/>
      <c r="V337" s="113"/>
      <c r="W337" s="92"/>
      <c r="X337" s="293"/>
      <c r="Y337" s="113"/>
    </row>
    <row r="338" spans="7:25" ht="12.75">
      <c r="G338" s="113"/>
      <c r="H338" s="113"/>
      <c r="I338" s="113"/>
      <c r="V338" s="113"/>
      <c r="W338" s="92"/>
      <c r="X338" s="293"/>
      <c r="Y338" s="113"/>
    </row>
    <row r="339" spans="7:25" ht="12.75">
      <c r="G339" s="113"/>
      <c r="H339" s="113"/>
      <c r="I339" s="113"/>
      <c r="V339" s="113"/>
      <c r="W339" s="92"/>
      <c r="X339" s="293"/>
      <c r="Y339" s="113"/>
    </row>
    <row r="340" spans="7:25" ht="12.75">
      <c r="G340" s="113"/>
      <c r="H340" s="113"/>
      <c r="I340" s="113"/>
      <c r="V340" s="113"/>
      <c r="W340" s="92"/>
      <c r="X340" s="293"/>
      <c r="Y340" s="113"/>
    </row>
    <row r="341" spans="7:25" ht="12.75">
      <c r="G341" s="113"/>
      <c r="H341" s="113"/>
      <c r="I341" s="113"/>
      <c r="V341" s="113"/>
      <c r="W341" s="92"/>
      <c r="X341" s="293"/>
      <c r="Y341" s="113"/>
    </row>
    <row r="342" spans="7:25" ht="12.75">
      <c r="G342" s="113"/>
      <c r="H342" s="113"/>
      <c r="I342" s="113"/>
      <c r="V342" s="113"/>
      <c r="W342" s="92"/>
      <c r="X342" s="293"/>
      <c r="Y342" s="113"/>
    </row>
    <row r="343" spans="7:25" ht="12.75">
      <c r="G343" s="113"/>
      <c r="H343" s="113"/>
      <c r="I343" s="113"/>
      <c r="V343" s="113"/>
      <c r="W343" s="92"/>
      <c r="X343" s="293"/>
      <c r="Y343" s="113"/>
    </row>
    <row r="344" spans="7:25" ht="12.75">
      <c r="G344" s="113"/>
      <c r="H344" s="113"/>
      <c r="I344" s="113"/>
      <c r="V344" s="113"/>
      <c r="W344" s="92"/>
      <c r="X344" s="293"/>
      <c r="Y344" s="113"/>
    </row>
    <row r="345" spans="7:25" ht="12.75">
      <c r="G345" s="113"/>
      <c r="H345" s="113"/>
      <c r="I345" s="113"/>
      <c r="V345" s="113"/>
      <c r="W345" s="92"/>
      <c r="X345" s="293"/>
      <c r="Y345" s="113"/>
    </row>
    <row r="346" spans="7:25" ht="12.75">
      <c r="G346" s="113"/>
      <c r="H346" s="113"/>
      <c r="I346" s="113"/>
      <c r="V346" s="113"/>
      <c r="W346" s="92"/>
      <c r="X346" s="293"/>
      <c r="Y346" s="113"/>
    </row>
    <row r="347" spans="7:25" ht="12.75">
      <c r="G347" s="113"/>
      <c r="H347" s="113"/>
      <c r="I347" s="113"/>
      <c r="V347" s="113"/>
      <c r="W347" s="92"/>
      <c r="X347" s="293"/>
      <c r="Y347" s="113"/>
    </row>
    <row r="348" spans="7:25" ht="12.75">
      <c r="G348" s="113"/>
      <c r="H348" s="113"/>
      <c r="I348" s="113"/>
      <c r="V348" s="113"/>
      <c r="W348" s="92"/>
      <c r="X348" s="293"/>
      <c r="Y348" s="113"/>
    </row>
    <row r="349" spans="7:25" ht="12.75">
      <c r="G349" s="113"/>
      <c r="H349" s="113"/>
      <c r="I349" s="113"/>
      <c r="V349" s="113"/>
      <c r="W349" s="92"/>
      <c r="X349" s="293"/>
      <c r="Y349" s="113"/>
    </row>
    <row r="350" spans="7:25" ht="12.75">
      <c r="G350" s="113"/>
      <c r="H350" s="113"/>
      <c r="I350" s="113"/>
      <c r="V350" s="113"/>
      <c r="W350" s="92"/>
      <c r="X350" s="293"/>
      <c r="Y350" s="113"/>
    </row>
    <row r="351" spans="7:25" ht="12.75">
      <c r="G351" s="113"/>
      <c r="H351" s="113"/>
      <c r="I351" s="113"/>
      <c r="V351" s="113"/>
      <c r="W351" s="92"/>
      <c r="X351" s="293"/>
      <c r="Y351" s="113"/>
    </row>
    <row r="352" spans="7:25" ht="12.75">
      <c r="G352" s="113"/>
      <c r="H352" s="113"/>
      <c r="I352" s="113"/>
      <c r="V352" s="113"/>
      <c r="W352" s="92"/>
      <c r="X352" s="293"/>
      <c r="Y352" s="113"/>
    </row>
    <row r="353" spans="7:25" ht="12.75">
      <c r="G353" s="113"/>
      <c r="H353" s="113"/>
      <c r="I353" s="113"/>
      <c r="V353" s="113"/>
      <c r="W353" s="92"/>
      <c r="X353" s="293"/>
      <c r="Y353" s="113"/>
    </row>
    <row r="354" spans="7:25" ht="12.75">
      <c r="G354" s="113"/>
      <c r="H354" s="113"/>
      <c r="I354" s="113"/>
      <c r="V354" s="113"/>
      <c r="W354" s="92"/>
      <c r="X354" s="293"/>
      <c r="Y354" s="113"/>
    </row>
    <row r="355" spans="7:25" ht="12.75">
      <c r="G355" s="113"/>
      <c r="H355" s="113"/>
      <c r="I355" s="113"/>
      <c r="V355" s="113"/>
      <c r="W355" s="92"/>
      <c r="X355" s="293"/>
      <c r="Y355" s="113"/>
    </row>
    <row r="356" spans="7:25" ht="12.75">
      <c r="G356" s="113"/>
      <c r="H356" s="113"/>
      <c r="I356" s="113"/>
      <c r="V356" s="113"/>
      <c r="W356" s="92"/>
      <c r="X356" s="293"/>
      <c r="Y356" s="113"/>
    </row>
    <row r="357" spans="7:25" ht="12.75">
      <c r="G357" s="113"/>
      <c r="H357" s="113"/>
      <c r="I357" s="113"/>
      <c r="V357" s="113"/>
      <c r="W357" s="92"/>
      <c r="X357" s="293"/>
      <c r="Y357" s="113"/>
    </row>
    <row r="358" spans="7:25" ht="12.75">
      <c r="G358" s="113"/>
      <c r="H358" s="113"/>
      <c r="I358" s="113"/>
      <c r="V358" s="113"/>
      <c r="W358" s="92"/>
      <c r="X358" s="293"/>
      <c r="Y358" s="113"/>
    </row>
    <row r="359" spans="7:25" ht="12.75">
      <c r="G359" s="113"/>
      <c r="H359" s="113"/>
      <c r="I359" s="113"/>
      <c r="V359" s="113"/>
      <c r="W359" s="92"/>
      <c r="X359" s="293"/>
      <c r="Y359" s="113"/>
    </row>
    <row r="360" spans="7:25" ht="12.75">
      <c r="G360" s="113"/>
      <c r="H360" s="113"/>
      <c r="I360" s="113"/>
      <c r="V360" s="113"/>
      <c r="W360" s="92"/>
      <c r="X360" s="293"/>
      <c r="Y360" s="113"/>
    </row>
    <row r="361" spans="7:25" ht="12.75">
      <c r="G361" s="113"/>
      <c r="H361" s="113"/>
      <c r="I361" s="113"/>
      <c r="V361" s="113"/>
      <c r="W361" s="92"/>
      <c r="X361" s="293"/>
      <c r="Y361" s="113"/>
    </row>
    <row r="362" spans="7:25" ht="12.75">
      <c r="G362" s="113"/>
      <c r="H362" s="113"/>
      <c r="I362" s="113"/>
      <c r="V362" s="113"/>
      <c r="W362" s="92"/>
      <c r="X362" s="293"/>
      <c r="Y362" s="113"/>
    </row>
    <row r="363" spans="7:25" ht="12.75">
      <c r="G363" s="113"/>
      <c r="H363" s="113"/>
      <c r="I363" s="113"/>
      <c r="V363" s="113"/>
      <c r="W363" s="92"/>
      <c r="X363" s="293"/>
      <c r="Y363" s="113"/>
    </row>
    <row r="364" spans="7:25" ht="12.75">
      <c r="G364" s="113"/>
      <c r="H364" s="113"/>
      <c r="I364" s="113"/>
      <c r="V364" s="113"/>
      <c r="W364" s="92"/>
      <c r="X364" s="293"/>
      <c r="Y364" s="113"/>
    </row>
    <row r="365" spans="7:25" ht="12.75">
      <c r="G365" s="113"/>
      <c r="H365" s="113"/>
      <c r="I365" s="113"/>
      <c r="V365" s="113"/>
      <c r="W365" s="92"/>
      <c r="X365" s="293"/>
      <c r="Y365" s="113"/>
    </row>
    <row r="366" spans="7:25" ht="12.75">
      <c r="G366" s="113"/>
      <c r="H366" s="113"/>
      <c r="I366" s="113"/>
      <c r="V366" s="113"/>
      <c r="W366" s="92"/>
      <c r="X366" s="293"/>
      <c r="Y366" s="113"/>
    </row>
    <row r="367" spans="7:25" ht="12.75">
      <c r="G367" s="113"/>
      <c r="H367" s="113"/>
      <c r="I367" s="113"/>
      <c r="V367" s="113"/>
      <c r="W367" s="92"/>
      <c r="X367" s="293"/>
      <c r="Y367" s="113"/>
    </row>
    <row r="368" spans="7:25" ht="12.75">
      <c r="G368" s="113"/>
      <c r="H368" s="113"/>
      <c r="I368" s="113"/>
      <c r="V368" s="113"/>
      <c r="W368" s="92"/>
      <c r="X368" s="293"/>
      <c r="Y368" s="113"/>
    </row>
    <row r="369" spans="7:25" ht="12.75">
      <c r="G369" s="113"/>
      <c r="H369" s="113"/>
      <c r="I369" s="113"/>
      <c r="V369" s="113"/>
      <c r="W369" s="92"/>
      <c r="X369" s="293"/>
      <c r="Y369" s="113"/>
    </row>
    <row r="370" spans="7:25" ht="12.75">
      <c r="G370" s="113"/>
      <c r="H370" s="113"/>
      <c r="I370" s="113"/>
      <c r="V370" s="113"/>
      <c r="W370" s="92"/>
      <c r="X370" s="293"/>
      <c r="Y370" s="113"/>
    </row>
    <row r="371" spans="7:25" ht="12.75">
      <c r="G371" s="113"/>
      <c r="H371" s="113"/>
      <c r="I371" s="113"/>
      <c r="V371" s="113"/>
      <c r="W371" s="92"/>
      <c r="X371" s="293"/>
      <c r="Y371" s="113"/>
    </row>
    <row r="372" spans="7:25" ht="12.75">
      <c r="G372" s="113"/>
      <c r="H372" s="113"/>
      <c r="I372" s="113"/>
      <c r="V372" s="113"/>
      <c r="W372" s="92"/>
      <c r="X372" s="293"/>
      <c r="Y372" s="113"/>
    </row>
    <row r="373" spans="7:25" ht="12.75">
      <c r="G373" s="113"/>
      <c r="H373" s="113"/>
      <c r="I373" s="113"/>
      <c r="V373" s="113"/>
      <c r="W373" s="92"/>
      <c r="X373" s="293"/>
      <c r="Y373" s="113"/>
    </row>
    <row r="374" spans="7:25" ht="12.75">
      <c r="G374" s="113"/>
      <c r="H374" s="113"/>
      <c r="I374" s="113"/>
      <c r="V374" s="113"/>
      <c r="W374" s="92"/>
      <c r="X374" s="293"/>
      <c r="Y374" s="113"/>
    </row>
    <row r="375" spans="7:25" ht="12.75">
      <c r="G375" s="113"/>
      <c r="H375" s="113"/>
      <c r="I375" s="113"/>
      <c r="V375" s="113"/>
      <c r="W375" s="92"/>
      <c r="X375" s="293"/>
      <c r="Y375" s="113"/>
    </row>
    <row r="376" spans="7:25" ht="12.75">
      <c r="G376" s="113"/>
      <c r="H376" s="113"/>
      <c r="I376" s="113"/>
      <c r="V376" s="113"/>
      <c r="W376" s="92"/>
      <c r="X376" s="293"/>
      <c r="Y376" s="113"/>
    </row>
    <row r="377" spans="7:25" ht="12.75">
      <c r="G377" s="113"/>
      <c r="H377" s="113"/>
      <c r="I377" s="113"/>
      <c r="V377" s="113"/>
      <c r="W377" s="92"/>
      <c r="X377" s="293"/>
      <c r="Y377" s="113"/>
    </row>
    <row r="378" spans="7:25" ht="12.75">
      <c r="G378" s="113"/>
      <c r="H378" s="113"/>
      <c r="I378" s="113"/>
      <c r="V378" s="113"/>
      <c r="W378" s="92"/>
      <c r="X378" s="293"/>
      <c r="Y378" s="113"/>
    </row>
    <row r="379" spans="7:25" ht="12.75">
      <c r="G379" s="113"/>
      <c r="H379" s="113"/>
      <c r="I379" s="113"/>
      <c r="V379" s="113"/>
      <c r="W379" s="92"/>
      <c r="X379" s="293"/>
      <c r="Y379" s="113"/>
    </row>
    <row r="380" spans="7:25" ht="12.75">
      <c r="G380" s="113"/>
      <c r="H380" s="113"/>
      <c r="I380" s="113"/>
      <c r="V380" s="113"/>
      <c r="W380" s="92"/>
      <c r="X380" s="293"/>
      <c r="Y380" s="113"/>
    </row>
    <row r="381" spans="7:25" ht="12.75">
      <c r="G381" s="113"/>
      <c r="H381" s="113"/>
      <c r="I381" s="113"/>
      <c r="V381" s="113"/>
      <c r="W381" s="92"/>
      <c r="X381" s="293"/>
      <c r="Y381" s="113"/>
    </row>
    <row r="382" spans="7:25" ht="12.75">
      <c r="G382" s="113"/>
      <c r="H382" s="113"/>
      <c r="I382" s="113"/>
      <c r="V382" s="113"/>
      <c r="W382" s="92"/>
      <c r="X382" s="293"/>
      <c r="Y382" s="113"/>
    </row>
    <row r="383" spans="7:25" ht="12.75">
      <c r="G383" s="113"/>
      <c r="H383" s="113"/>
      <c r="I383" s="113"/>
      <c r="V383" s="113"/>
      <c r="W383" s="92"/>
      <c r="X383" s="293"/>
      <c r="Y383" s="113"/>
    </row>
    <row r="384" spans="7:25" ht="12.75">
      <c r="G384" s="113"/>
      <c r="H384" s="113"/>
      <c r="I384" s="113"/>
      <c r="V384" s="113"/>
      <c r="W384" s="92"/>
      <c r="X384" s="293"/>
      <c r="Y384" s="113"/>
    </row>
    <row r="385" spans="7:25" ht="12.75">
      <c r="G385" s="113"/>
      <c r="H385" s="113"/>
      <c r="I385" s="113"/>
      <c r="V385" s="113"/>
      <c r="W385" s="92"/>
      <c r="X385" s="293"/>
      <c r="Y385" s="113"/>
    </row>
    <row r="386" spans="7:25" ht="12.75">
      <c r="G386" s="113"/>
      <c r="H386" s="113"/>
      <c r="I386" s="113"/>
      <c r="V386" s="113"/>
      <c r="W386" s="92"/>
      <c r="X386" s="293"/>
      <c r="Y386" s="113"/>
    </row>
    <row r="387" spans="7:25" ht="12.75">
      <c r="G387" s="113"/>
      <c r="H387" s="113"/>
      <c r="I387" s="113"/>
      <c r="V387" s="113"/>
      <c r="W387" s="92"/>
      <c r="X387" s="293"/>
      <c r="Y387" s="113"/>
    </row>
    <row r="388" spans="7:25" ht="12.75">
      <c r="G388" s="113"/>
      <c r="H388" s="113"/>
      <c r="I388" s="113"/>
      <c r="V388" s="113"/>
      <c r="W388" s="92"/>
      <c r="X388" s="293"/>
      <c r="Y388" s="113"/>
    </row>
    <row r="389" spans="7:25" ht="12.75">
      <c r="G389" s="113"/>
      <c r="H389" s="113"/>
      <c r="I389" s="113"/>
      <c r="V389" s="113"/>
      <c r="W389" s="92"/>
      <c r="X389" s="293"/>
      <c r="Y389" s="113"/>
    </row>
    <row r="390" spans="7:25" ht="12.75">
      <c r="G390" s="113"/>
      <c r="H390" s="113"/>
      <c r="I390" s="113"/>
      <c r="V390" s="113"/>
      <c r="W390" s="92"/>
      <c r="X390" s="293"/>
      <c r="Y390" s="113"/>
    </row>
    <row r="391" spans="7:25" ht="12.75">
      <c r="G391" s="113"/>
      <c r="H391" s="113"/>
      <c r="I391" s="113"/>
      <c r="V391" s="113"/>
      <c r="W391" s="92"/>
      <c r="X391" s="293"/>
      <c r="Y391" s="113"/>
    </row>
    <row r="392" spans="7:25" ht="12.75">
      <c r="G392" s="113"/>
      <c r="H392" s="113"/>
      <c r="I392" s="113"/>
      <c r="V392" s="113"/>
      <c r="W392" s="92"/>
      <c r="X392" s="293"/>
      <c r="Y392" s="113"/>
    </row>
    <row r="393" spans="7:25" ht="12.75">
      <c r="G393" s="113"/>
      <c r="H393" s="113"/>
      <c r="I393" s="113"/>
      <c r="V393" s="113"/>
      <c r="W393" s="92"/>
      <c r="X393" s="293"/>
      <c r="Y393" s="113"/>
    </row>
    <row r="394" spans="7:25" ht="12.75">
      <c r="G394" s="113"/>
      <c r="H394" s="113"/>
      <c r="I394" s="113"/>
      <c r="V394" s="113"/>
      <c r="W394" s="92"/>
      <c r="X394" s="293"/>
      <c r="Y394" s="113"/>
    </row>
    <row r="395" spans="7:25" ht="12.75">
      <c r="G395" s="113"/>
      <c r="H395" s="113"/>
      <c r="I395" s="113"/>
      <c r="V395" s="113"/>
      <c r="W395" s="92"/>
      <c r="X395" s="293"/>
      <c r="Y395" s="113"/>
    </row>
    <row r="396" spans="7:25" ht="12.75">
      <c r="G396" s="113"/>
      <c r="H396" s="113"/>
      <c r="I396" s="113"/>
      <c r="V396" s="113"/>
      <c r="W396" s="92"/>
      <c r="X396" s="293"/>
      <c r="Y396" s="113"/>
    </row>
    <row r="397" spans="7:25" ht="12.75">
      <c r="G397" s="113"/>
      <c r="H397" s="113"/>
      <c r="I397" s="113"/>
      <c r="V397" s="113"/>
      <c r="W397" s="92"/>
      <c r="X397" s="293"/>
      <c r="Y397" s="113"/>
    </row>
    <row r="398" spans="7:25" ht="12.75">
      <c r="G398" s="113"/>
      <c r="H398" s="113"/>
      <c r="I398" s="113"/>
      <c r="V398" s="113"/>
      <c r="W398" s="92"/>
      <c r="X398" s="293"/>
      <c r="Y398" s="113"/>
    </row>
    <row r="399" spans="7:25" ht="12.75">
      <c r="G399" s="113"/>
      <c r="H399" s="113"/>
      <c r="I399" s="113"/>
      <c r="V399" s="113"/>
      <c r="W399" s="92"/>
      <c r="X399" s="293"/>
      <c r="Y399" s="113"/>
    </row>
    <row r="400" spans="7:25" ht="12.75">
      <c r="G400" s="113"/>
      <c r="H400" s="113"/>
      <c r="I400" s="113"/>
      <c r="V400" s="113"/>
      <c r="W400" s="92"/>
      <c r="X400" s="293"/>
      <c r="Y400" s="113"/>
    </row>
    <row r="401" spans="7:25" ht="12.75">
      <c r="G401" s="113"/>
      <c r="H401" s="113"/>
      <c r="I401" s="113"/>
      <c r="V401" s="113"/>
      <c r="W401" s="92"/>
      <c r="X401" s="293"/>
      <c r="Y401" s="113"/>
    </row>
    <row r="402" spans="7:25" ht="12.75">
      <c r="G402" s="113"/>
      <c r="H402" s="113"/>
      <c r="I402" s="113"/>
      <c r="V402" s="113"/>
      <c r="W402" s="92"/>
      <c r="X402" s="293"/>
      <c r="Y402" s="113"/>
    </row>
    <row r="403" spans="7:25" ht="12.75">
      <c r="G403" s="113"/>
      <c r="H403" s="113"/>
      <c r="I403" s="113"/>
      <c r="V403" s="113"/>
      <c r="W403" s="92"/>
      <c r="X403" s="293"/>
      <c r="Y403" s="113"/>
    </row>
    <row r="404" spans="7:25" ht="12.75">
      <c r="G404" s="113"/>
      <c r="H404" s="113"/>
      <c r="I404" s="113"/>
      <c r="V404" s="113"/>
      <c r="W404" s="92"/>
      <c r="X404" s="293"/>
      <c r="Y404" s="113"/>
    </row>
    <row r="405" spans="7:25" ht="12.75">
      <c r="G405" s="113"/>
      <c r="H405" s="113"/>
      <c r="I405" s="113"/>
      <c r="V405" s="113"/>
      <c r="W405" s="92"/>
      <c r="X405" s="293"/>
      <c r="Y405" s="113"/>
    </row>
    <row r="406" spans="7:25" ht="12.75">
      <c r="G406" s="113"/>
      <c r="H406" s="113"/>
      <c r="I406" s="113"/>
      <c r="V406" s="113"/>
      <c r="W406" s="92"/>
      <c r="X406" s="293"/>
      <c r="Y406" s="113"/>
    </row>
    <row r="407" spans="7:25" ht="12.75">
      <c r="G407" s="113"/>
      <c r="H407" s="113"/>
      <c r="I407" s="113"/>
      <c r="V407" s="113"/>
      <c r="W407" s="92"/>
      <c r="X407" s="293"/>
      <c r="Y407" s="113"/>
    </row>
    <row r="408" spans="7:25" ht="12.75">
      <c r="G408" s="113"/>
      <c r="H408" s="113"/>
      <c r="I408" s="113"/>
      <c r="V408" s="113"/>
      <c r="W408" s="92"/>
      <c r="X408" s="293"/>
      <c r="Y408" s="113"/>
    </row>
    <row r="409" spans="7:25" ht="12.75">
      <c r="G409" s="113"/>
      <c r="H409" s="113"/>
      <c r="I409" s="113"/>
      <c r="V409" s="113"/>
      <c r="W409" s="92"/>
      <c r="X409" s="293"/>
      <c r="Y409" s="113"/>
    </row>
    <row r="410" spans="7:25" ht="12.75">
      <c r="G410" s="113"/>
      <c r="H410" s="113"/>
      <c r="I410" s="113"/>
      <c r="V410" s="113"/>
      <c r="W410" s="92"/>
      <c r="X410" s="293"/>
      <c r="Y410" s="113"/>
    </row>
    <row r="411" spans="7:25" ht="12.75">
      <c r="G411" s="113"/>
      <c r="H411" s="113"/>
      <c r="I411" s="113"/>
      <c r="V411" s="113"/>
      <c r="W411" s="92"/>
      <c r="X411" s="293"/>
      <c r="Y411" s="113"/>
    </row>
    <row r="412" spans="7:25" ht="12.75">
      <c r="G412" s="113"/>
      <c r="H412" s="113"/>
      <c r="I412" s="113"/>
      <c r="V412" s="113"/>
      <c r="W412" s="92"/>
      <c r="X412" s="293"/>
      <c r="Y412" s="113"/>
    </row>
    <row r="413" spans="7:25" ht="12.75">
      <c r="G413" s="113"/>
      <c r="H413" s="113"/>
      <c r="I413" s="113"/>
      <c r="V413" s="113"/>
      <c r="W413" s="92"/>
      <c r="X413" s="293"/>
      <c r="Y413" s="113"/>
    </row>
    <row r="414" spans="7:25" ht="12.75">
      <c r="G414" s="113"/>
      <c r="H414" s="113"/>
      <c r="I414" s="113"/>
      <c r="V414" s="113"/>
      <c r="W414" s="92"/>
      <c r="X414" s="293"/>
      <c r="Y414" s="113"/>
    </row>
    <row r="415" spans="7:25" ht="12.75">
      <c r="G415" s="113"/>
      <c r="H415" s="113"/>
      <c r="I415" s="113"/>
      <c r="V415" s="113"/>
      <c r="W415" s="92"/>
      <c r="X415" s="293"/>
      <c r="Y415" s="113"/>
    </row>
    <row r="416" spans="7:25" ht="12.75">
      <c r="G416" s="113"/>
      <c r="H416" s="113"/>
      <c r="I416" s="113"/>
      <c r="V416" s="113"/>
      <c r="W416" s="92"/>
      <c r="X416" s="293"/>
      <c r="Y416" s="113"/>
    </row>
    <row r="417" spans="7:25" ht="12.75">
      <c r="G417" s="113"/>
      <c r="H417" s="113"/>
      <c r="I417" s="113"/>
      <c r="V417" s="113"/>
      <c r="W417" s="92"/>
      <c r="X417" s="293"/>
      <c r="Y417" s="113"/>
    </row>
    <row r="418" spans="7:25" ht="12.75">
      <c r="G418" s="113"/>
      <c r="H418" s="113"/>
      <c r="I418" s="113"/>
      <c r="V418" s="113"/>
      <c r="W418" s="92"/>
      <c r="X418" s="293"/>
      <c r="Y418" s="113"/>
    </row>
    <row r="419" spans="7:25" ht="12.75">
      <c r="G419" s="113"/>
      <c r="H419" s="113"/>
      <c r="I419" s="113"/>
      <c r="V419" s="113"/>
      <c r="W419" s="92"/>
      <c r="X419" s="293"/>
      <c r="Y419" s="113"/>
    </row>
    <row r="420" spans="7:25" ht="12.75">
      <c r="G420" s="113"/>
      <c r="H420" s="113"/>
      <c r="I420" s="113"/>
      <c r="V420" s="113"/>
      <c r="W420" s="92"/>
      <c r="X420" s="293"/>
      <c r="Y420" s="113"/>
    </row>
    <row r="421" spans="7:25" ht="12.75">
      <c r="G421" s="113"/>
      <c r="H421" s="113"/>
      <c r="I421" s="113"/>
      <c r="V421" s="113"/>
      <c r="W421" s="92"/>
      <c r="X421" s="293"/>
      <c r="Y421" s="113"/>
    </row>
    <row r="422" spans="7:25" ht="12.75">
      <c r="G422" s="113"/>
      <c r="H422" s="113"/>
      <c r="I422" s="113"/>
      <c r="V422" s="113"/>
      <c r="W422" s="92"/>
      <c r="X422" s="293"/>
      <c r="Y422" s="113"/>
    </row>
    <row r="423" spans="7:25" ht="12.75">
      <c r="G423" s="113"/>
      <c r="H423" s="113"/>
      <c r="I423" s="113"/>
      <c r="V423" s="113"/>
      <c r="W423" s="92"/>
      <c r="X423" s="293"/>
      <c r="Y423" s="113"/>
    </row>
    <row r="424" spans="7:25" ht="12.75">
      <c r="G424" s="113"/>
      <c r="H424" s="113"/>
      <c r="I424" s="113"/>
      <c r="V424" s="113"/>
      <c r="W424" s="92"/>
      <c r="X424" s="293"/>
      <c r="Y424" s="113"/>
    </row>
    <row r="425" spans="7:25" ht="12.75">
      <c r="G425" s="113"/>
      <c r="H425" s="113"/>
      <c r="I425" s="113"/>
      <c r="V425" s="113"/>
      <c r="W425" s="92"/>
      <c r="X425" s="293"/>
      <c r="Y425" s="113"/>
    </row>
    <row r="426" spans="7:25" ht="12.75">
      <c r="G426" s="113"/>
      <c r="H426" s="113"/>
      <c r="I426" s="113"/>
      <c r="V426" s="113"/>
      <c r="W426" s="92"/>
      <c r="X426" s="293"/>
      <c r="Y426" s="113"/>
    </row>
    <row r="427" spans="7:25" ht="12.75">
      <c r="G427" s="113"/>
      <c r="H427" s="113"/>
      <c r="I427" s="113"/>
      <c r="V427" s="113"/>
      <c r="W427" s="92"/>
      <c r="X427" s="293"/>
      <c r="Y427" s="113"/>
    </row>
    <row r="428" spans="7:25" ht="12.75">
      <c r="G428" s="113"/>
      <c r="H428" s="113"/>
      <c r="I428" s="113"/>
      <c r="V428" s="113"/>
      <c r="W428" s="92"/>
      <c r="X428" s="293"/>
      <c r="Y428" s="113"/>
    </row>
    <row r="429" spans="7:25" ht="12.75">
      <c r="G429" s="113"/>
      <c r="H429" s="113"/>
      <c r="I429" s="113"/>
      <c r="V429" s="113"/>
      <c r="W429" s="92"/>
      <c r="X429" s="293"/>
      <c r="Y429" s="113"/>
    </row>
    <row r="430" spans="7:25" ht="12.75">
      <c r="G430" s="113"/>
      <c r="H430" s="113"/>
      <c r="I430" s="113"/>
      <c r="V430" s="113"/>
      <c r="W430" s="92"/>
      <c r="X430" s="293"/>
      <c r="Y430" s="113"/>
    </row>
    <row r="431" spans="7:25" ht="12.75">
      <c r="G431" s="113"/>
      <c r="H431" s="113"/>
      <c r="I431" s="113"/>
      <c r="V431" s="113"/>
      <c r="W431" s="92"/>
      <c r="X431" s="293"/>
      <c r="Y431" s="113"/>
    </row>
    <row r="432" spans="7:25" ht="12.75">
      <c r="G432" s="113"/>
      <c r="H432" s="113"/>
      <c r="I432" s="113"/>
      <c r="V432" s="113"/>
      <c r="W432" s="92"/>
      <c r="X432" s="293"/>
      <c r="Y432" s="113"/>
    </row>
    <row r="433" spans="7:25" ht="12.75">
      <c r="G433" s="113"/>
      <c r="H433" s="113"/>
      <c r="I433" s="113"/>
      <c r="V433" s="113"/>
      <c r="W433" s="92"/>
      <c r="X433" s="293"/>
      <c r="Y433" s="113"/>
    </row>
    <row r="434" spans="7:25" ht="12.75">
      <c r="G434" s="113"/>
      <c r="H434" s="113"/>
      <c r="I434" s="113"/>
      <c r="V434" s="113"/>
      <c r="W434" s="92"/>
      <c r="X434" s="293"/>
      <c r="Y434" s="113"/>
    </row>
    <row r="435" spans="7:25" ht="12.75">
      <c r="G435" s="113"/>
      <c r="H435" s="113"/>
      <c r="I435" s="113"/>
      <c r="V435" s="113"/>
      <c r="W435" s="92"/>
      <c r="X435" s="293"/>
      <c r="Y435" s="113"/>
    </row>
    <row r="436" spans="7:25" ht="12.75">
      <c r="G436" s="113"/>
      <c r="H436" s="113"/>
      <c r="I436" s="113"/>
      <c r="V436" s="113"/>
      <c r="W436" s="92"/>
      <c r="X436" s="293"/>
      <c r="Y436" s="113"/>
    </row>
    <row r="437" spans="7:25" ht="12.75">
      <c r="G437" s="113"/>
      <c r="H437" s="113"/>
      <c r="I437" s="113"/>
      <c r="V437" s="113"/>
      <c r="W437" s="92"/>
      <c r="X437" s="293"/>
      <c r="Y437" s="113"/>
    </row>
    <row r="438" spans="7:25" ht="12.75">
      <c r="G438" s="113"/>
      <c r="H438" s="113"/>
      <c r="I438" s="113"/>
      <c r="V438" s="113"/>
      <c r="W438" s="92"/>
      <c r="X438" s="293"/>
      <c r="Y438" s="113"/>
    </row>
    <row r="439" spans="7:25" ht="12.75">
      <c r="G439" s="113"/>
      <c r="H439" s="113"/>
      <c r="I439" s="113"/>
      <c r="V439" s="113"/>
      <c r="W439" s="92"/>
      <c r="X439" s="293"/>
      <c r="Y439" s="113"/>
    </row>
    <row r="440" spans="7:25" ht="12.75">
      <c r="G440" s="113"/>
      <c r="H440" s="113"/>
      <c r="I440" s="113"/>
      <c r="V440" s="113"/>
      <c r="W440" s="92"/>
      <c r="X440" s="293"/>
      <c r="Y440" s="113"/>
    </row>
    <row r="441" spans="7:25" ht="12.75">
      <c r="G441" s="113"/>
      <c r="H441" s="113"/>
      <c r="I441" s="113"/>
      <c r="V441" s="113"/>
      <c r="W441" s="92"/>
      <c r="X441" s="293"/>
      <c r="Y441" s="113"/>
    </row>
    <row r="442" spans="7:25" ht="12.75">
      <c r="G442" s="113"/>
      <c r="H442" s="113"/>
      <c r="I442" s="113"/>
      <c r="V442" s="113"/>
      <c r="W442" s="92"/>
      <c r="X442" s="293"/>
      <c r="Y442" s="113"/>
    </row>
    <row r="443" spans="7:25" ht="12.75">
      <c r="G443" s="113"/>
      <c r="H443" s="113"/>
      <c r="I443" s="113"/>
      <c r="V443" s="113"/>
      <c r="W443" s="92"/>
      <c r="X443" s="293"/>
      <c r="Y443" s="113"/>
    </row>
    <row r="444" spans="7:25" ht="12.75">
      <c r="G444" s="113"/>
      <c r="H444" s="113"/>
      <c r="I444" s="113"/>
      <c r="V444" s="113"/>
      <c r="W444" s="92"/>
      <c r="X444" s="293"/>
      <c r="Y444" s="113"/>
    </row>
    <row r="445" spans="7:25" ht="12.75">
      <c r="G445" s="113"/>
      <c r="H445" s="113"/>
      <c r="I445" s="113"/>
      <c r="V445" s="113"/>
      <c r="W445" s="92"/>
      <c r="X445" s="293"/>
      <c r="Y445" s="113"/>
    </row>
    <row r="446" spans="7:25" ht="12.75">
      <c r="G446" s="113"/>
      <c r="H446" s="113"/>
      <c r="I446" s="113"/>
      <c r="V446" s="113"/>
      <c r="W446" s="92"/>
      <c r="X446" s="293"/>
      <c r="Y446" s="113"/>
    </row>
    <row r="447" spans="7:25" ht="12.75">
      <c r="G447" s="113"/>
      <c r="H447" s="113"/>
      <c r="I447" s="113"/>
      <c r="V447" s="113"/>
      <c r="W447" s="92"/>
      <c r="X447" s="293"/>
      <c r="Y447" s="113"/>
    </row>
    <row r="448" spans="7:25" ht="12.75">
      <c r="G448" s="113"/>
      <c r="H448" s="113"/>
      <c r="I448" s="113"/>
      <c r="V448" s="113"/>
      <c r="W448" s="92"/>
      <c r="X448" s="293"/>
      <c r="Y448" s="113"/>
    </row>
    <row r="449" spans="7:25" ht="12.75">
      <c r="G449" s="113"/>
      <c r="H449" s="113"/>
      <c r="I449" s="113"/>
      <c r="V449" s="113"/>
      <c r="W449" s="92"/>
      <c r="X449" s="293"/>
      <c r="Y449" s="113"/>
    </row>
    <row r="450" spans="7:25" ht="12.75">
      <c r="G450" s="113"/>
      <c r="H450" s="113"/>
      <c r="I450" s="113"/>
      <c r="V450" s="113"/>
      <c r="W450" s="92"/>
      <c r="X450" s="293"/>
      <c r="Y450" s="113"/>
    </row>
    <row r="451" spans="7:25" ht="12.75">
      <c r="G451" s="113"/>
      <c r="H451" s="113"/>
      <c r="I451" s="113"/>
      <c r="V451" s="113"/>
      <c r="W451" s="92"/>
      <c r="X451" s="293"/>
      <c r="Y451" s="113"/>
    </row>
    <row r="452" spans="7:25" ht="12.75">
      <c r="G452" s="113"/>
      <c r="H452" s="113"/>
      <c r="I452" s="113"/>
      <c r="V452" s="113"/>
      <c r="W452" s="92"/>
      <c r="X452" s="293"/>
      <c r="Y452" s="113"/>
    </row>
    <row r="453" spans="7:25" ht="12.75">
      <c r="G453" s="113"/>
      <c r="H453" s="113"/>
      <c r="I453" s="113"/>
      <c r="V453" s="113"/>
      <c r="W453" s="92"/>
      <c r="X453" s="293"/>
      <c r="Y453" s="113"/>
    </row>
    <row r="454" spans="7:25" ht="12.75">
      <c r="G454" s="113"/>
      <c r="H454" s="113"/>
      <c r="I454" s="113"/>
      <c r="V454" s="113"/>
      <c r="W454" s="92"/>
      <c r="X454" s="293"/>
      <c r="Y454" s="113"/>
    </row>
    <row r="455" spans="7:25" ht="12.75">
      <c r="G455" s="113"/>
      <c r="H455" s="113"/>
      <c r="I455" s="113"/>
      <c r="V455" s="113"/>
      <c r="W455" s="92"/>
      <c r="X455" s="293"/>
      <c r="Y455" s="113"/>
    </row>
    <row r="456" spans="7:25" ht="12.75">
      <c r="G456" s="113"/>
      <c r="H456" s="113"/>
      <c r="I456" s="113"/>
      <c r="V456" s="113"/>
      <c r="W456" s="92"/>
      <c r="X456" s="293"/>
      <c r="Y456" s="113"/>
    </row>
    <row r="457" spans="7:25" ht="12.75">
      <c r="G457" s="113"/>
      <c r="H457" s="113"/>
      <c r="I457" s="113"/>
      <c r="V457" s="113"/>
      <c r="W457" s="92"/>
      <c r="X457" s="293"/>
      <c r="Y457" s="113"/>
    </row>
    <row r="458" spans="7:25" ht="12.75">
      <c r="G458" s="113"/>
      <c r="H458" s="113"/>
      <c r="I458" s="113"/>
      <c r="V458" s="113"/>
      <c r="W458" s="92"/>
      <c r="X458" s="293"/>
      <c r="Y458" s="113"/>
    </row>
    <row r="459" spans="7:25" ht="12.75">
      <c r="G459" s="113"/>
      <c r="H459" s="113"/>
      <c r="I459" s="113"/>
      <c r="V459" s="113"/>
      <c r="W459" s="92"/>
      <c r="X459" s="293"/>
      <c r="Y459" s="113"/>
    </row>
    <row r="460" spans="7:25" ht="12.75">
      <c r="G460" s="113"/>
      <c r="H460" s="113"/>
      <c r="I460" s="113"/>
      <c r="V460" s="113"/>
      <c r="W460" s="92"/>
      <c r="X460" s="293"/>
      <c r="Y460" s="113"/>
    </row>
    <row r="461" spans="7:25" ht="12.75">
      <c r="G461" s="113"/>
      <c r="H461" s="113"/>
      <c r="I461" s="113"/>
      <c r="V461" s="113"/>
      <c r="W461" s="92"/>
      <c r="X461" s="293"/>
      <c r="Y461" s="113"/>
    </row>
    <row r="462" spans="7:25" ht="12.75">
      <c r="G462" s="113"/>
      <c r="H462" s="113"/>
      <c r="I462" s="113"/>
      <c r="V462" s="113"/>
      <c r="W462" s="92"/>
      <c r="X462" s="293"/>
      <c r="Y462" s="113"/>
    </row>
    <row r="463" spans="7:25" ht="12.75">
      <c r="G463" s="113"/>
      <c r="H463" s="113"/>
      <c r="I463" s="113"/>
      <c r="V463" s="113"/>
      <c r="W463" s="92"/>
      <c r="X463" s="293"/>
      <c r="Y463" s="113"/>
    </row>
    <row r="464" spans="7:25" ht="12.75">
      <c r="G464" s="113"/>
      <c r="H464" s="113"/>
      <c r="I464" s="113"/>
      <c r="V464" s="113"/>
      <c r="W464" s="92"/>
      <c r="X464" s="293"/>
      <c r="Y464" s="113"/>
    </row>
    <row r="465" spans="7:25" ht="12.75">
      <c r="G465" s="113"/>
      <c r="H465" s="113"/>
      <c r="I465" s="113"/>
      <c r="V465" s="113"/>
      <c r="W465" s="92"/>
      <c r="X465" s="293"/>
      <c r="Y465" s="113"/>
    </row>
    <row r="466" spans="7:25" ht="12.75">
      <c r="G466" s="113"/>
      <c r="H466" s="113"/>
      <c r="I466" s="113"/>
      <c r="V466" s="113"/>
      <c r="W466" s="92"/>
      <c r="X466" s="293"/>
      <c r="Y466" s="113"/>
    </row>
    <row r="467" spans="7:25" ht="12.75">
      <c r="G467" s="113"/>
      <c r="H467" s="113"/>
      <c r="I467" s="113"/>
      <c r="V467" s="113"/>
      <c r="W467" s="92"/>
      <c r="X467" s="293"/>
      <c r="Y467" s="113"/>
    </row>
    <row r="468" spans="7:25" ht="12.75">
      <c r="G468" s="113"/>
      <c r="H468" s="113"/>
      <c r="I468" s="113"/>
      <c r="V468" s="113"/>
      <c r="W468" s="92"/>
      <c r="X468" s="293"/>
      <c r="Y468" s="113"/>
    </row>
    <row r="469" spans="7:25" ht="12.75">
      <c r="G469" s="113"/>
      <c r="H469" s="113"/>
      <c r="I469" s="113"/>
      <c r="V469" s="113"/>
      <c r="W469" s="92"/>
      <c r="X469" s="293"/>
      <c r="Y469" s="113"/>
    </row>
    <row r="470" spans="7:25" ht="12.75">
      <c r="G470" s="113"/>
      <c r="H470" s="113"/>
      <c r="I470" s="113"/>
      <c r="V470" s="113"/>
      <c r="W470" s="92"/>
      <c r="X470" s="293"/>
      <c r="Y470" s="113"/>
    </row>
    <row r="471" spans="7:25" ht="12.75">
      <c r="G471" s="113"/>
      <c r="H471" s="113"/>
      <c r="I471" s="113"/>
      <c r="V471" s="113"/>
      <c r="W471" s="92"/>
      <c r="X471" s="293"/>
      <c r="Y471" s="113"/>
    </row>
    <row r="472" spans="7:25" ht="12.75">
      <c r="G472" s="113"/>
      <c r="H472" s="113"/>
      <c r="I472" s="113"/>
      <c r="V472" s="113"/>
      <c r="W472" s="92"/>
      <c r="X472" s="293"/>
      <c r="Y472" s="113"/>
    </row>
    <row r="473" spans="7:25" ht="12.75">
      <c r="G473" s="113"/>
      <c r="H473" s="113"/>
      <c r="I473" s="113"/>
      <c r="V473" s="113"/>
      <c r="W473" s="92"/>
      <c r="X473" s="293"/>
      <c r="Y473" s="113"/>
    </row>
    <row r="474" spans="7:25" ht="12.75">
      <c r="G474" s="113"/>
      <c r="H474" s="113"/>
      <c r="I474" s="113"/>
      <c r="V474" s="113"/>
      <c r="W474" s="92"/>
      <c r="X474" s="293"/>
      <c r="Y474" s="113"/>
    </row>
    <row r="475" spans="7:25" ht="12.75">
      <c r="G475" s="113"/>
      <c r="H475" s="113"/>
      <c r="I475" s="113"/>
      <c r="V475" s="113"/>
      <c r="W475" s="92"/>
      <c r="X475" s="293"/>
      <c r="Y475" s="113"/>
    </row>
    <row r="476" spans="7:25" ht="12.75">
      <c r="G476" s="113"/>
      <c r="H476" s="113"/>
      <c r="I476" s="113"/>
      <c r="V476" s="113"/>
      <c r="W476" s="92"/>
      <c r="X476" s="293"/>
      <c r="Y476" s="113"/>
    </row>
    <row r="477" spans="7:25" ht="12.75">
      <c r="G477" s="113"/>
      <c r="H477" s="113"/>
      <c r="I477" s="113"/>
      <c r="V477" s="113"/>
      <c r="W477" s="92"/>
      <c r="X477" s="293"/>
      <c r="Y477" s="113"/>
    </row>
    <row r="478" spans="7:25" ht="12.75">
      <c r="G478" s="113"/>
      <c r="H478" s="113"/>
      <c r="I478" s="113"/>
      <c r="V478" s="113"/>
      <c r="W478" s="92"/>
      <c r="X478" s="293"/>
      <c r="Y478" s="113"/>
    </row>
    <row r="479" spans="7:25" ht="12.75">
      <c r="G479" s="113"/>
      <c r="H479" s="113"/>
      <c r="I479" s="113"/>
      <c r="V479" s="113"/>
      <c r="W479" s="92"/>
      <c r="X479" s="293"/>
      <c r="Y479" s="113"/>
    </row>
    <row r="480" spans="7:25" ht="12.75">
      <c r="G480" s="113"/>
      <c r="H480" s="113"/>
      <c r="I480" s="113"/>
      <c r="V480" s="113"/>
      <c r="W480" s="92"/>
      <c r="X480" s="293"/>
      <c r="Y480" s="113"/>
    </row>
    <row r="481" spans="7:25" ht="12.75">
      <c r="G481" s="113"/>
      <c r="H481" s="113"/>
      <c r="I481" s="113"/>
      <c r="V481" s="113"/>
      <c r="W481" s="92"/>
      <c r="X481" s="293"/>
      <c r="Y481" s="113"/>
    </row>
    <row r="482" spans="7:25" ht="12.75">
      <c r="G482" s="113"/>
      <c r="H482" s="113"/>
      <c r="I482" s="113"/>
      <c r="V482" s="113"/>
      <c r="W482" s="92"/>
      <c r="X482" s="293"/>
      <c r="Y482" s="113"/>
    </row>
    <row r="483" spans="7:25" ht="12.75">
      <c r="G483" s="113"/>
      <c r="H483" s="113"/>
      <c r="I483" s="113"/>
      <c r="V483" s="113"/>
      <c r="W483" s="92"/>
      <c r="X483" s="293"/>
      <c r="Y483" s="113"/>
    </row>
    <row r="484" spans="7:25" ht="12.75">
      <c r="G484" s="113"/>
      <c r="H484" s="113"/>
      <c r="I484" s="113"/>
      <c r="V484" s="113"/>
      <c r="W484" s="92"/>
      <c r="X484" s="293"/>
      <c r="Y484" s="113"/>
    </row>
    <row r="485" spans="7:25" ht="12.75">
      <c r="G485" s="113"/>
      <c r="H485" s="113"/>
      <c r="I485" s="113"/>
      <c r="V485" s="113"/>
      <c r="W485" s="92"/>
      <c r="X485" s="293"/>
      <c r="Y485" s="113"/>
    </row>
    <row r="486" spans="7:25" ht="12.75">
      <c r="G486" s="113"/>
      <c r="H486" s="113"/>
      <c r="I486" s="113"/>
      <c r="V486" s="113"/>
      <c r="W486" s="92"/>
      <c r="X486" s="293"/>
      <c r="Y486" s="113"/>
    </row>
    <row r="487" spans="7:25" ht="12.75">
      <c r="G487" s="113"/>
      <c r="H487" s="113"/>
      <c r="I487" s="113"/>
      <c r="V487" s="113"/>
      <c r="W487" s="92"/>
      <c r="X487" s="293"/>
      <c r="Y487" s="113"/>
    </row>
    <row r="488" spans="7:25" ht="12.75">
      <c r="G488" s="113"/>
      <c r="H488" s="113"/>
      <c r="I488" s="113"/>
      <c r="V488" s="113"/>
      <c r="W488" s="92"/>
      <c r="X488" s="293"/>
      <c r="Y488" s="113"/>
    </row>
    <row r="489" spans="7:25" ht="12.75">
      <c r="G489" s="113"/>
      <c r="H489" s="113"/>
      <c r="I489" s="113"/>
      <c r="V489" s="113"/>
      <c r="W489" s="92"/>
      <c r="X489" s="293"/>
      <c r="Y489" s="113"/>
    </row>
    <row r="490" spans="7:25" ht="12.75">
      <c r="G490" s="113"/>
      <c r="H490" s="113"/>
      <c r="I490" s="113"/>
      <c r="V490" s="113"/>
      <c r="W490" s="92"/>
      <c r="X490" s="293"/>
      <c r="Y490" s="113"/>
    </row>
    <row r="491" spans="7:25" ht="12.75">
      <c r="G491" s="113"/>
      <c r="H491" s="113"/>
      <c r="I491" s="113"/>
      <c r="V491" s="113"/>
      <c r="W491" s="92"/>
      <c r="X491" s="293"/>
      <c r="Y491" s="113"/>
    </row>
    <row r="492" spans="7:25" ht="12.75">
      <c r="G492" s="113"/>
      <c r="H492" s="113"/>
      <c r="I492" s="113"/>
      <c r="V492" s="113"/>
      <c r="W492" s="92"/>
      <c r="X492" s="293"/>
      <c r="Y492" s="113"/>
    </row>
    <row r="493" spans="7:25" ht="12.75">
      <c r="G493" s="113"/>
      <c r="H493" s="113"/>
      <c r="I493" s="113"/>
      <c r="V493" s="113"/>
      <c r="W493" s="92"/>
      <c r="X493" s="293"/>
      <c r="Y493" s="113"/>
    </row>
    <row r="494" spans="7:25" ht="12.75">
      <c r="G494" s="113"/>
      <c r="H494" s="113"/>
      <c r="I494" s="113"/>
      <c r="V494" s="113"/>
      <c r="W494" s="92"/>
      <c r="X494" s="293"/>
      <c r="Y494" s="113"/>
    </row>
    <row r="495" spans="7:25" ht="12.75">
      <c r="G495" s="113"/>
      <c r="H495" s="113"/>
      <c r="I495" s="113"/>
      <c r="V495" s="113"/>
      <c r="W495" s="92"/>
      <c r="X495" s="293"/>
      <c r="Y495" s="113"/>
    </row>
    <row r="496" spans="7:25" ht="12.75">
      <c r="G496" s="113"/>
      <c r="H496" s="113"/>
      <c r="I496" s="113"/>
      <c r="V496" s="113"/>
      <c r="W496" s="92"/>
      <c r="X496" s="293"/>
      <c r="Y496" s="113"/>
    </row>
    <row r="497" spans="7:25" ht="12.75">
      <c r="G497" s="113"/>
      <c r="H497" s="113"/>
      <c r="I497" s="113"/>
      <c r="V497" s="113"/>
      <c r="W497" s="92"/>
      <c r="X497" s="293"/>
      <c r="Y497" s="113"/>
    </row>
    <row r="498" spans="7:25" ht="12.75">
      <c r="G498" s="113"/>
      <c r="H498" s="113"/>
      <c r="I498" s="113"/>
      <c r="V498" s="113"/>
      <c r="W498" s="92"/>
      <c r="X498" s="293"/>
      <c r="Y498" s="113"/>
    </row>
    <row r="499" spans="7:25" ht="12.75">
      <c r="G499" s="113"/>
      <c r="H499" s="113"/>
      <c r="I499" s="113"/>
      <c r="V499" s="113"/>
      <c r="W499" s="92"/>
      <c r="X499" s="293"/>
      <c r="Y499" s="113"/>
    </row>
    <row r="500" spans="7:25" ht="12.75">
      <c r="G500" s="113"/>
      <c r="H500" s="113"/>
      <c r="I500" s="113"/>
      <c r="V500" s="113"/>
      <c r="W500" s="92"/>
      <c r="X500" s="293"/>
      <c r="Y500" s="113"/>
    </row>
    <row r="501" spans="7:25" ht="12.75">
      <c r="G501" s="113"/>
      <c r="H501" s="113"/>
      <c r="I501" s="113"/>
      <c r="V501" s="113"/>
      <c r="W501" s="92"/>
      <c r="X501" s="293"/>
      <c r="Y501" s="113"/>
    </row>
    <row r="502" spans="7:25" ht="12.75">
      <c r="G502" s="113"/>
      <c r="H502" s="113"/>
      <c r="I502" s="113"/>
      <c r="V502" s="113"/>
      <c r="W502" s="92"/>
      <c r="X502" s="293"/>
      <c r="Y502" s="113"/>
    </row>
    <row r="503" spans="7:25" ht="12.75">
      <c r="G503" s="113"/>
      <c r="H503" s="113"/>
      <c r="I503" s="113"/>
      <c r="V503" s="113"/>
      <c r="W503" s="92"/>
      <c r="X503" s="293"/>
      <c r="Y503" s="113"/>
    </row>
    <row r="504" spans="7:25" ht="12.75">
      <c r="G504" s="113"/>
      <c r="H504" s="113"/>
      <c r="I504" s="113"/>
      <c r="V504" s="113"/>
      <c r="W504" s="92"/>
      <c r="X504" s="293"/>
      <c r="Y504" s="113"/>
    </row>
    <row r="505" spans="7:25" ht="12.75">
      <c r="G505" s="113"/>
      <c r="H505" s="113"/>
      <c r="I505" s="113"/>
      <c r="V505" s="113"/>
      <c r="W505" s="92"/>
      <c r="X505" s="293"/>
      <c r="Y505" s="113"/>
    </row>
    <row r="506" spans="7:25" ht="12.75">
      <c r="G506" s="113"/>
      <c r="H506" s="113"/>
      <c r="I506" s="113"/>
      <c r="V506" s="113"/>
      <c r="W506" s="92"/>
      <c r="X506" s="293"/>
      <c r="Y506" s="113"/>
    </row>
    <row r="507" spans="7:25" ht="12.75">
      <c r="G507" s="113"/>
      <c r="H507" s="113"/>
      <c r="I507" s="113"/>
      <c r="V507" s="113"/>
      <c r="W507" s="92"/>
      <c r="X507" s="293"/>
      <c r="Y507" s="113"/>
    </row>
    <row r="508" spans="7:25" ht="12.75">
      <c r="G508" s="113"/>
      <c r="H508" s="113"/>
      <c r="I508" s="113"/>
      <c r="V508" s="113"/>
      <c r="W508" s="92"/>
      <c r="X508" s="293"/>
      <c r="Y508" s="113"/>
    </row>
    <row r="509" spans="7:25" ht="12.75">
      <c r="G509" s="113"/>
      <c r="H509" s="113"/>
      <c r="I509" s="113"/>
      <c r="V509" s="113"/>
      <c r="W509" s="92"/>
      <c r="X509" s="293"/>
      <c r="Y509" s="113"/>
    </row>
    <row r="510" spans="7:25" ht="12.75">
      <c r="G510" s="113"/>
      <c r="H510" s="113"/>
      <c r="I510" s="113"/>
      <c r="V510" s="113"/>
      <c r="W510" s="92"/>
      <c r="X510" s="293"/>
      <c r="Y510" s="113"/>
    </row>
    <row r="511" spans="7:25" ht="12.75">
      <c r="G511" s="113"/>
      <c r="H511" s="113"/>
      <c r="I511" s="113"/>
      <c r="V511" s="113"/>
      <c r="W511" s="92"/>
      <c r="X511" s="293"/>
      <c r="Y511" s="113"/>
    </row>
    <row r="512" spans="7:25" ht="12.75">
      <c r="G512" s="113"/>
      <c r="H512" s="113"/>
      <c r="I512" s="113"/>
      <c r="V512" s="113"/>
      <c r="W512" s="92"/>
      <c r="X512" s="293"/>
      <c r="Y512" s="113"/>
    </row>
    <row r="513" spans="7:25" ht="12.75">
      <c r="G513" s="113"/>
      <c r="H513" s="113"/>
      <c r="I513" s="113"/>
      <c r="V513" s="113"/>
      <c r="W513" s="92"/>
      <c r="X513" s="293"/>
      <c r="Y513" s="113"/>
    </row>
    <row r="514" spans="7:25" ht="12.75">
      <c r="G514" s="113"/>
      <c r="H514" s="113"/>
      <c r="I514" s="113"/>
      <c r="V514" s="113"/>
      <c r="W514" s="92"/>
      <c r="X514" s="293"/>
      <c r="Y514" s="113"/>
    </row>
    <row r="515" spans="7:25" ht="12.75">
      <c r="G515" s="113"/>
      <c r="H515" s="113"/>
      <c r="I515" s="113"/>
      <c r="V515" s="113"/>
      <c r="W515" s="92"/>
      <c r="X515" s="293"/>
      <c r="Y515" s="113"/>
    </row>
    <row r="516" spans="7:25" ht="12.75">
      <c r="G516" s="113"/>
      <c r="H516" s="113"/>
      <c r="I516" s="113"/>
      <c r="V516" s="113"/>
      <c r="W516" s="92"/>
      <c r="X516" s="293"/>
      <c r="Y516" s="113"/>
    </row>
    <row r="517" spans="7:25" ht="12.75">
      <c r="G517" s="113"/>
      <c r="H517" s="113"/>
      <c r="I517" s="113"/>
      <c r="V517" s="113"/>
      <c r="W517" s="92"/>
      <c r="X517" s="293"/>
      <c r="Y517" s="113"/>
    </row>
    <row r="518" spans="7:25" ht="12.75">
      <c r="G518" s="113"/>
      <c r="H518" s="113"/>
      <c r="I518" s="113"/>
      <c r="V518" s="113"/>
      <c r="W518" s="92"/>
      <c r="X518" s="293"/>
      <c r="Y518" s="113"/>
    </row>
    <row r="519" spans="7:25" ht="12.75">
      <c r="G519" s="113"/>
      <c r="H519" s="113"/>
      <c r="I519" s="113"/>
      <c r="V519" s="113"/>
      <c r="W519" s="92"/>
      <c r="X519" s="293"/>
      <c r="Y519" s="113"/>
    </row>
    <row r="520" spans="7:25" ht="12.75">
      <c r="G520" s="113"/>
      <c r="H520" s="113"/>
      <c r="I520" s="113"/>
      <c r="V520" s="113"/>
      <c r="W520" s="92"/>
      <c r="X520" s="293"/>
      <c r="Y520" s="113"/>
    </row>
    <row r="521" spans="7:25" ht="12.75">
      <c r="G521" s="113"/>
      <c r="H521" s="113"/>
      <c r="I521" s="113"/>
      <c r="V521" s="113"/>
      <c r="W521" s="92"/>
      <c r="X521" s="293"/>
      <c r="Y521" s="113"/>
    </row>
    <row r="522" spans="7:25" ht="12.75">
      <c r="G522" s="113"/>
      <c r="H522" s="113"/>
      <c r="I522" s="113"/>
      <c r="V522" s="113"/>
      <c r="W522" s="92"/>
      <c r="X522" s="293"/>
      <c r="Y522" s="113"/>
    </row>
    <row r="523" spans="7:25" ht="12.75">
      <c r="G523" s="113"/>
      <c r="H523" s="113"/>
      <c r="I523" s="113"/>
      <c r="V523" s="113"/>
      <c r="W523" s="92"/>
      <c r="X523" s="293"/>
      <c r="Y523" s="113"/>
    </row>
    <row r="524" spans="7:25" ht="12.75">
      <c r="G524" s="113"/>
      <c r="H524" s="113"/>
      <c r="I524" s="113"/>
      <c r="V524" s="113"/>
      <c r="W524" s="92"/>
      <c r="X524" s="293"/>
      <c r="Y524" s="113"/>
    </row>
    <row r="525" spans="7:25" ht="12.75">
      <c r="G525" s="113"/>
      <c r="H525" s="113"/>
      <c r="I525" s="113"/>
      <c r="V525" s="113"/>
      <c r="W525" s="92"/>
      <c r="X525" s="293"/>
      <c r="Y525" s="113"/>
    </row>
    <row r="526" spans="7:25" ht="12.75">
      <c r="G526" s="113"/>
      <c r="H526" s="113"/>
      <c r="I526" s="113"/>
      <c r="V526" s="113"/>
      <c r="W526" s="92"/>
      <c r="X526" s="293"/>
      <c r="Y526" s="113"/>
    </row>
    <row r="527" spans="7:25" ht="12.75">
      <c r="G527" s="113"/>
      <c r="H527" s="113"/>
      <c r="I527" s="113"/>
      <c r="V527" s="113"/>
      <c r="W527" s="92"/>
      <c r="X527" s="293"/>
      <c r="Y527" s="113"/>
    </row>
    <row r="528" spans="7:25" ht="12.75">
      <c r="G528" s="113"/>
      <c r="H528" s="113"/>
      <c r="I528" s="113"/>
      <c r="V528" s="113"/>
      <c r="W528" s="92"/>
      <c r="X528" s="293"/>
      <c r="Y528" s="113"/>
    </row>
    <row r="529" spans="7:25" ht="12.75">
      <c r="G529" s="113"/>
      <c r="H529" s="113"/>
      <c r="I529" s="113"/>
      <c r="V529" s="113"/>
      <c r="W529" s="92"/>
      <c r="X529" s="293"/>
      <c r="Y529" s="113"/>
    </row>
    <row r="530" spans="7:25" ht="12.75">
      <c r="G530" s="113"/>
      <c r="H530" s="113"/>
      <c r="I530" s="113"/>
      <c r="V530" s="113"/>
      <c r="W530" s="92"/>
      <c r="X530" s="293"/>
      <c r="Y530" s="113"/>
    </row>
    <row r="531" spans="7:25" ht="12.75">
      <c r="G531" s="113"/>
      <c r="H531" s="113"/>
      <c r="I531" s="113"/>
      <c r="V531" s="113"/>
      <c r="W531" s="92"/>
      <c r="X531" s="293"/>
      <c r="Y531" s="113"/>
    </row>
    <row r="532" spans="7:25" ht="12.75">
      <c r="G532" s="113"/>
      <c r="H532" s="113"/>
      <c r="I532" s="113"/>
      <c r="V532" s="113"/>
      <c r="W532" s="92"/>
      <c r="X532" s="293"/>
      <c r="Y532" s="113"/>
    </row>
    <row r="533" spans="7:25" ht="12.75">
      <c r="G533" s="113"/>
      <c r="H533" s="113"/>
      <c r="I533" s="113"/>
      <c r="V533" s="113"/>
      <c r="W533" s="92"/>
      <c r="X533" s="293"/>
      <c r="Y533" s="113"/>
    </row>
    <row r="534" spans="7:25" ht="12.75">
      <c r="G534" s="113"/>
      <c r="H534" s="113"/>
      <c r="I534" s="113"/>
      <c r="V534" s="113"/>
      <c r="W534" s="92"/>
      <c r="X534" s="293"/>
      <c r="Y534" s="113"/>
    </row>
    <row r="535" spans="7:25" ht="12.75">
      <c r="G535" s="113"/>
      <c r="H535" s="113"/>
      <c r="I535" s="113"/>
      <c r="V535" s="113"/>
      <c r="W535" s="92"/>
      <c r="X535" s="293"/>
      <c r="Y535" s="113"/>
    </row>
    <row r="536" spans="7:25" ht="12.75">
      <c r="G536" s="113"/>
      <c r="H536" s="113"/>
      <c r="I536" s="113"/>
      <c r="V536" s="113"/>
      <c r="W536" s="92"/>
      <c r="X536" s="293"/>
      <c r="Y536" s="113"/>
    </row>
    <row r="537" spans="7:25" ht="12.75">
      <c r="G537" s="113"/>
      <c r="H537" s="113"/>
      <c r="I537" s="113"/>
      <c r="V537" s="113"/>
      <c r="W537" s="92"/>
      <c r="X537" s="293"/>
      <c r="Y537" s="113"/>
    </row>
    <row r="538" spans="7:25" ht="12.75">
      <c r="G538" s="113"/>
      <c r="H538" s="113"/>
      <c r="I538" s="113"/>
      <c r="V538" s="113"/>
      <c r="W538" s="92"/>
      <c r="X538" s="293"/>
      <c r="Y538" s="113"/>
    </row>
    <row r="539" spans="7:25" ht="12.75">
      <c r="G539" s="113"/>
      <c r="H539" s="113"/>
      <c r="I539" s="113"/>
      <c r="V539" s="113"/>
      <c r="W539" s="92"/>
      <c r="X539" s="293"/>
      <c r="Y539" s="113"/>
    </row>
    <row r="540" spans="7:25" ht="12.75">
      <c r="G540" s="113"/>
      <c r="H540" s="113"/>
      <c r="I540" s="113"/>
      <c r="V540" s="113"/>
      <c r="W540" s="92"/>
      <c r="X540" s="293"/>
      <c r="Y540" s="113"/>
    </row>
    <row r="541" spans="7:25" ht="12.75">
      <c r="G541" s="113"/>
      <c r="H541" s="113"/>
      <c r="I541" s="113"/>
      <c r="V541" s="113"/>
      <c r="W541" s="92"/>
      <c r="X541" s="293"/>
      <c r="Y541" s="113"/>
    </row>
    <row r="542" spans="7:25" ht="12.75">
      <c r="G542" s="113"/>
      <c r="H542" s="113"/>
      <c r="I542" s="113"/>
      <c r="V542" s="113"/>
      <c r="W542" s="92"/>
      <c r="X542" s="293"/>
      <c r="Y542" s="113"/>
    </row>
    <row r="543" spans="7:25" ht="12.75">
      <c r="G543" s="113"/>
      <c r="H543" s="113"/>
      <c r="I543" s="113"/>
      <c r="V543" s="113"/>
      <c r="W543" s="92"/>
      <c r="X543" s="293"/>
      <c r="Y543" s="113"/>
    </row>
    <row r="544" spans="7:25" ht="12.75">
      <c r="G544" s="113"/>
      <c r="H544" s="113"/>
      <c r="I544" s="113"/>
      <c r="V544" s="113"/>
      <c r="W544" s="92"/>
      <c r="X544" s="293"/>
      <c r="Y544" s="113"/>
    </row>
    <row r="545" spans="7:25" ht="12.75">
      <c r="G545" s="92"/>
      <c r="H545" s="92"/>
      <c r="I545" s="92"/>
      <c r="V545" s="92"/>
      <c r="W545" s="92"/>
      <c r="X545" s="293"/>
      <c r="Y545" s="92"/>
    </row>
    <row r="546" spans="7:25" ht="12.75">
      <c r="G546" s="92"/>
      <c r="H546" s="92"/>
      <c r="I546" s="92"/>
      <c r="V546" s="92"/>
      <c r="W546" s="92"/>
      <c r="X546" s="293"/>
      <c r="Y546" s="92"/>
    </row>
    <row r="547" spans="7:25" ht="12.75">
      <c r="G547" s="92"/>
      <c r="H547" s="92"/>
      <c r="I547" s="92"/>
      <c r="V547" s="92"/>
      <c r="W547" s="92"/>
      <c r="X547" s="293"/>
      <c r="Y547" s="92"/>
    </row>
    <row r="548" spans="7:25" ht="12.75">
      <c r="G548" s="92"/>
      <c r="H548" s="92"/>
      <c r="I548" s="92"/>
      <c r="V548" s="92"/>
      <c r="W548" s="92"/>
      <c r="X548" s="293"/>
      <c r="Y548" s="92"/>
    </row>
    <row r="549" spans="7:25" ht="12.75">
      <c r="G549" s="92"/>
      <c r="H549" s="92"/>
      <c r="I549" s="92"/>
      <c r="V549" s="92"/>
      <c r="W549" s="92"/>
      <c r="X549" s="293"/>
      <c r="Y549" s="92"/>
    </row>
    <row r="550" spans="7:25" ht="12.75">
      <c r="G550" s="92"/>
      <c r="H550" s="92"/>
      <c r="I550" s="92"/>
      <c r="V550" s="92"/>
      <c r="W550" s="92"/>
      <c r="X550" s="293"/>
      <c r="Y550" s="92"/>
    </row>
    <row r="551" spans="7:25" ht="12.75">
      <c r="G551" s="92"/>
      <c r="H551" s="92"/>
      <c r="I551" s="92"/>
      <c r="V551" s="92"/>
      <c r="W551" s="92"/>
      <c r="X551" s="293"/>
      <c r="Y551" s="92"/>
    </row>
    <row r="552" spans="7:25" ht="12.75">
      <c r="G552" s="92"/>
      <c r="H552" s="92"/>
      <c r="I552" s="92"/>
      <c r="V552" s="92"/>
      <c r="W552" s="92"/>
      <c r="X552" s="293"/>
      <c r="Y552" s="92"/>
    </row>
    <row r="553" spans="7:25" ht="12.75">
      <c r="G553" s="92"/>
      <c r="H553" s="92"/>
      <c r="I553" s="92"/>
      <c r="V553" s="92"/>
      <c r="W553" s="92"/>
      <c r="X553" s="293"/>
      <c r="Y553" s="92"/>
    </row>
    <row r="554" spans="7:25" ht="12.75">
      <c r="G554" s="92"/>
      <c r="H554" s="92"/>
      <c r="I554" s="92"/>
      <c r="V554" s="92"/>
      <c r="W554" s="92"/>
      <c r="X554" s="293"/>
      <c r="Y554" s="92"/>
    </row>
    <row r="555" spans="7:25" ht="12.75">
      <c r="G555" s="92"/>
      <c r="H555" s="92"/>
      <c r="I555" s="92"/>
      <c r="V555" s="92"/>
      <c r="W555" s="92"/>
      <c r="X555" s="293"/>
      <c r="Y555" s="92"/>
    </row>
    <row r="556" spans="7:25" ht="12.75">
      <c r="G556" s="92"/>
      <c r="H556" s="92"/>
      <c r="I556" s="92"/>
      <c r="V556" s="92"/>
      <c r="W556" s="92"/>
      <c r="X556" s="293"/>
      <c r="Y556" s="92"/>
    </row>
    <row r="557" spans="7:25" ht="12.75">
      <c r="G557" s="92"/>
      <c r="H557" s="92"/>
      <c r="I557" s="92"/>
      <c r="V557" s="92"/>
      <c r="W557" s="92"/>
      <c r="X557" s="293"/>
      <c r="Y557" s="92"/>
    </row>
  </sheetData>
  <printOptions/>
  <pageMargins left="0.5" right="0.42" top="0.5" bottom="0.4" header="0.5" footer="0.3"/>
  <pageSetup horizontalDpi="600" verticalDpi="600" orientation="landscape" scale="97" r:id="rId3"/>
  <headerFooter alignWithMargins="0">
    <oddHeader xml:space="preserve">&amp;RAttachment C   </oddHeader>
    <oddFooter>&amp;R&amp;P</oddFooter>
  </headerFooter>
  <rowBreaks count="1" manualBreakCount="1">
    <brk id="41" min="1" max="24" man="1"/>
  </rowBreaks>
  <colBreaks count="1" manualBreakCount="1">
    <brk id="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7"/>
  <sheetViews>
    <sheetView workbookViewId="0" topLeftCell="A1">
      <pane ySplit="6" topLeftCell="BM7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9.140625" style="5" customWidth="1"/>
    <col min="2" max="2" width="39.57421875" style="0" customWidth="1"/>
    <col min="3" max="3" width="12.8515625" style="0" hidden="1" customWidth="1"/>
    <col min="4" max="4" width="10.7109375" style="0" hidden="1" customWidth="1"/>
    <col min="5" max="5" width="14.57421875" style="5" customWidth="1"/>
    <col min="6" max="6" width="12.140625" style="5" customWidth="1"/>
    <col min="7" max="7" width="14.28125" style="5" customWidth="1"/>
    <col min="8" max="8" width="9.28125" style="0" bestFit="1" customWidth="1"/>
    <col min="9" max="9" width="20.57421875" style="0" customWidth="1"/>
  </cols>
  <sheetData>
    <row r="1" ht="13.5" thickBot="1">
      <c r="B1" t="s">
        <v>98</v>
      </c>
    </row>
    <row r="2" spans="1:10" ht="15.75">
      <c r="A2" s="6"/>
      <c r="B2" s="24"/>
      <c r="C2" s="22"/>
      <c r="D2" s="28"/>
      <c r="E2" s="79"/>
      <c r="F2" s="80" t="s">
        <v>78</v>
      </c>
      <c r="G2" s="80" t="s">
        <v>80</v>
      </c>
      <c r="H2" s="81"/>
      <c r="I2" s="35"/>
      <c r="J2" s="3"/>
    </row>
    <row r="3" spans="1:10" ht="12.75">
      <c r="A3" s="7"/>
      <c r="B3" s="25"/>
      <c r="C3" s="23" t="s">
        <v>1</v>
      </c>
      <c r="D3" s="29" t="s">
        <v>0</v>
      </c>
      <c r="E3" s="82" t="s">
        <v>1</v>
      </c>
      <c r="F3" s="82" t="s">
        <v>79</v>
      </c>
      <c r="G3" s="82" t="s">
        <v>81</v>
      </c>
      <c r="H3" s="83"/>
      <c r="I3" s="38"/>
      <c r="J3" s="4"/>
    </row>
    <row r="4" spans="1:10" ht="15.75">
      <c r="A4" s="8" t="s">
        <v>41</v>
      </c>
      <c r="B4" s="25"/>
      <c r="C4" s="23" t="s">
        <v>2</v>
      </c>
      <c r="D4" s="29" t="s">
        <v>3</v>
      </c>
      <c r="E4" s="82" t="s">
        <v>2</v>
      </c>
      <c r="F4" s="82" t="s">
        <v>3</v>
      </c>
      <c r="G4" s="82" t="s">
        <v>77</v>
      </c>
      <c r="H4" s="83"/>
      <c r="I4" s="38"/>
      <c r="J4" s="78" t="s">
        <v>76</v>
      </c>
    </row>
    <row r="5" spans="1:10" ht="16.5" thickBot="1">
      <c r="A5" s="8" t="s">
        <v>1</v>
      </c>
      <c r="B5" s="26" t="s">
        <v>4</v>
      </c>
      <c r="C5" s="23" t="s">
        <v>5</v>
      </c>
      <c r="D5" s="29" t="s">
        <v>5</v>
      </c>
      <c r="E5" s="82" t="s">
        <v>5</v>
      </c>
      <c r="F5" s="82" t="s">
        <v>5</v>
      </c>
      <c r="G5" s="82" t="s">
        <v>5</v>
      </c>
      <c r="H5" s="82" t="s">
        <v>53</v>
      </c>
      <c r="I5" s="36" t="s">
        <v>54</v>
      </c>
      <c r="J5" s="15" t="s">
        <v>75</v>
      </c>
    </row>
    <row r="6" spans="1:10" s="14" customFormat="1" ht="13.5" thickBot="1">
      <c r="A6" s="9"/>
      <c r="B6" s="27" t="s">
        <v>43</v>
      </c>
      <c r="C6" s="19"/>
      <c r="D6" s="20"/>
      <c r="E6" s="94">
        <f>E74</f>
        <v>27169865</v>
      </c>
      <c r="F6" s="94">
        <f>F74</f>
        <v>674184.5</v>
      </c>
      <c r="G6" s="95">
        <f>G74</f>
        <v>17161236</v>
      </c>
      <c r="H6" s="84"/>
      <c r="I6" s="39"/>
      <c r="J6" s="18"/>
    </row>
    <row r="7" spans="1:10" s="14" customFormat="1" ht="12.75">
      <c r="A7" s="6"/>
      <c r="B7" s="71"/>
      <c r="C7" s="19"/>
      <c r="D7" s="20"/>
      <c r="E7" s="96"/>
      <c r="F7" s="96"/>
      <c r="G7" s="97"/>
      <c r="H7" s="85"/>
      <c r="I7" s="10"/>
      <c r="J7" s="4"/>
    </row>
    <row r="8" spans="1:13" ht="12.75">
      <c r="A8" s="7" t="s">
        <v>42</v>
      </c>
      <c r="B8" s="64" t="s">
        <v>17</v>
      </c>
      <c r="C8" s="21">
        <v>293398</v>
      </c>
      <c r="D8" s="30">
        <v>1214</v>
      </c>
      <c r="E8" s="98">
        <f>IF(A8="X",C8,0)</f>
        <v>293398</v>
      </c>
      <c r="F8" s="98">
        <f>IF(A8="X",D8,0)</f>
        <v>1214</v>
      </c>
      <c r="G8" s="99">
        <v>0</v>
      </c>
      <c r="H8" s="86">
        <v>32</v>
      </c>
      <c r="I8" s="69" t="s">
        <v>62</v>
      </c>
      <c r="J8" s="4"/>
      <c r="M8" s="127"/>
    </row>
    <row r="9" spans="1:10" ht="13.5" thickBot="1">
      <c r="A9" s="7" t="s">
        <v>42</v>
      </c>
      <c r="B9" s="72" t="s">
        <v>46</v>
      </c>
      <c r="C9" s="45">
        <v>500000</v>
      </c>
      <c r="D9" s="46">
        <v>0</v>
      </c>
      <c r="E9" s="98">
        <f>IF(A9="X",C9,0)</f>
        <v>500000</v>
      </c>
      <c r="F9" s="98">
        <f>IF(A9="X",D9,0)</f>
        <v>0</v>
      </c>
      <c r="G9" s="99">
        <v>0</v>
      </c>
      <c r="H9" s="86">
        <v>42</v>
      </c>
      <c r="I9" s="69" t="s">
        <v>62</v>
      </c>
      <c r="J9" s="4"/>
    </row>
    <row r="10" spans="1:10" ht="13.5" thickBot="1">
      <c r="A10" s="49"/>
      <c r="B10" s="73" t="s">
        <v>84</v>
      </c>
      <c r="C10" s="47"/>
      <c r="D10" s="48"/>
      <c r="E10" s="100">
        <f>SUM(E8:E9)</f>
        <v>793398</v>
      </c>
      <c r="F10" s="100">
        <f>SUM(F8:F9)</f>
        <v>1214</v>
      </c>
      <c r="G10" s="101">
        <f>SUM(G8:G9)</f>
        <v>0</v>
      </c>
      <c r="H10" s="87"/>
      <c r="I10" s="74"/>
      <c r="J10" s="50"/>
    </row>
    <row r="11" spans="1:10" ht="13.5" thickTop="1">
      <c r="A11" s="7"/>
      <c r="B11" s="64"/>
      <c r="C11" s="21"/>
      <c r="D11" s="30"/>
      <c r="E11" s="98"/>
      <c r="F11" s="98"/>
      <c r="G11" s="99"/>
      <c r="H11" s="86"/>
      <c r="I11" s="69"/>
      <c r="J11" s="4"/>
    </row>
    <row r="12" spans="1:10" ht="12.75">
      <c r="A12" s="7" t="s">
        <v>42</v>
      </c>
      <c r="B12" s="65" t="s">
        <v>49</v>
      </c>
      <c r="C12" s="1">
        <v>80202</v>
      </c>
      <c r="D12" s="31">
        <v>1063</v>
      </c>
      <c r="E12" s="98">
        <f>IF(A12="X",C12,0)</f>
        <v>80202</v>
      </c>
      <c r="F12" s="98">
        <f>IF(A12="X",D12,0)</f>
        <v>1063</v>
      </c>
      <c r="G12" s="98">
        <f>IF(A12="X",E12,0)</f>
        <v>80202</v>
      </c>
      <c r="H12" s="86">
        <v>2</v>
      </c>
      <c r="I12" s="69" t="s">
        <v>61</v>
      </c>
      <c r="J12" s="4"/>
    </row>
    <row r="13" spans="1:10" ht="12.75">
      <c r="A13" s="7" t="s">
        <v>42</v>
      </c>
      <c r="B13" s="65" t="s">
        <v>21</v>
      </c>
      <c r="C13" s="1">
        <v>193481</v>
      </c>
      <c r="D13" s="31">
        <v>4521</v>
      </c>
      <c r="E13" s="98">
        <f>IF(A13="X",C13,0)</f>
        <v>193481</v>
      </c>
      <c r="F13" s="98">
        <f>IF(A13="X",D13,0)</f>
        <v>4521</v>
      </c>
      <c r="G13" s="98">
        <f>IF(A13="X",E13,0)</f>
        <v>193481</v>
      </c>
      <c r="H13" s="86">
        <v>4</v>
      </c>
      <c r="I13" s="69" t="s">
        <v>61</v>
      </c>
      <c r="J13" s="4"/>
    </row>
    <row r="14" spans="1:10" ht="12.75">
      <c r="A14" s="7" t="s">
        <v>42</v>
      </c>
      <c r="B14" s="65" t="s">
        <v>19</v>
      </c>
      <c r="C14" s="1">
        <v>19380</v>
      </c>
      <c r="D14" s="31">
        <v>500</v>
      </c>
      <c r="E14" s="98">
        <f>IF(A14="X",C14,0)</f>
        <v>19380</v>
      </c>
      <c r="F14" s="98">
        <f>IF(A14="X",D14,0)</f>
        <v>500</v>
      </c>
      <c r="G14" s="98">
        <f>IF(A14="X",E14,0)</f>
        <v>19380</v>
      </c>
      <c r="H14" s="86">
        <v>5</v>
      </c>
      <c r="I14" s="69" t="s">
        <v>61</v>
      </c>
      <c r="J14" s="4"/>
    </row>
    <row r="15" spans="1:10" ht="12.75">
      <c r="A15" s="7" t="s">
        <v>42</v>
      </c>
      <c r="B15" s="65" t="s">
        <v>47</v>
      </c>
      <c r="C15" s="1">
        <v>1276824</v>
      </c>
      <c r="D15" s="31">
        <v>17190</v>
      </c>
      <c r="E15" s="98">
        <f>IF(A15="X",C15,0)</f>
        <v>1276824</v>
      </c>
      <c r="F15" s="98">
        <f>IF(A15="X",D15,0)</f>
        <v>17190</v>
      </c>
      <c r="G15" s="98">
        <f>IF(A15="X",E15,0)</f>
        <v>1276824</v>
      </c>
      <c r="H15" s="86">
        <v>7</v>
      </c>
      <c r="I15" s="69" t="s">
        <v>61</v>
      </c>
      <c r="J15" s="4"/>
    </row>
    <row r="16" spans="1:10" ht="12.75">
      <c r="A16" s="7" t="s">
        <v>42</v>
      </c>
      <c r="B16" s="65" t="s">
        <v>15</v>
      </c>
      <c r="C16" s="1">
        <v>9960</v>
      </c>
      <c r="D16" s="31">
        <v>300</v>
      </c>
      <c r="E16" s="98">
        <f>IF(A16="X",C16,0)</f>
        <v>9960</v>
      </c>
      <c r="F16" s="98">
        <f>IF(A16="X",D16,0)</f>
        <v>300</v>
      </c>
      <c r="G16" s="98">
        <f>IF(A16="X",E16,0)</f>
        <v>9960</v>
      </c>
      <c r="H16" s="86">
        <v>9</v>
      </c>
      <c r="I16" s="69" t="s">
        <v>61</v>
      </c>
      <c r="J16" s="4"/>
    </row>
    <row r="17" spans="1:10" ht="12.75">
      <c r="A17" s="12" t="s">
        <v>42</v>
      </c>
      <c r="B17" s="66" t="s">
        <v>85</v>
      </c>
      <c r="C17" s="13">
        <v>5800000</v>
      </c>
      <c r="D17" s="32"/>
      <c r="E17" s="102">
        <f aca="true" t="shared" si="0" ref="E17:E30">IF(A17="X",C17,0)</f>
        <v>5800000</v>
      </c>
      <c r="F17" s="102"/>
      <c r="G17" s="102">
        <f>IF(A17="X",8500000,0)</f>
        <v>8500000</v>
      </c>
      <c r="H17" s="86">
        <v>12</v>
      </c>
      <c r="I17" s="69" t="s">
        <v>73</v>
      </c>
      <c r="J17" s="4"/>
    </row>
    <row r="18" spans="1:10" ht="12.75">
      <c r="A18" s="7" t="s">
        <v>42</v>
      </c>
      <c r="B18" s="65" t="s">
        <v>16</v>
      </c>
      <c r="C18" s="1">
        <v>15643</v>
      </c>
      <c r="D18" s="31">
        <v>2000</v>
      </c>
      <c r="E18" s="98">
        <f t="shared" si="0"/>
        <v>15643</v>
      </c>
      <c r="F18" s="98">
        <f aca="true" t="shared" si="1" ref="F18:F30">IF(A18="X",D18,0)</f>
        <v>2000</v>
      </c>
      <c r="G18" s="98">
        <f aca="true" t="shared" si="2" ref="G18:G25">IF(A18="X",E18,0)</f>
        <v>15643</v>
      </c>
      <c r="H18" s="86">
        <v>16</v>
      </c>
      <c r="I18" s="69" t="s">
        <v>61</v>
      </c>
      <c r="J18" s="4"/>
    </row>
    <row r="19" spans="1:10" ht="12.75">
      <c r="A19" s="7" t="s">
        <v>42</v>
      </c>
      <c r="B19" s="65" t="s">
        <v>50</v>
      </c>
      <c r="C19" s="1">
        <v>703156</v>
      </c>
      <c r="D19" s="31">
        <v>4611</v>
      </c>
      <c r="E19" s="98">
        <f t="shared" si="0"/>
        <v>703156</v>
      </c>
      <c r="F19" s="98">
        <f t="shared" si="1"/>
        <v>4611</v>
      </c>
      <c r="G19" s="98">
        <f t="shared" si="2"/>
        <v>703156</v>
      </c>
      <c r="H19" s="86">
        <v>17</v>
      </c>
      <c r="I19" s="69" t="s">
        <v>61</v>
      </c>
      <c r="J19" s="4"/>
    </row>
    <row r="20" spans="1:10" ht="12.75">
      <c r="A20" s="7" t="s">
        <v>42</v>
      </c>
      <c r="B20" s="65" t="s">
        <v>94</v>
      </c>
      <c r="C20" s="1">
        <v>87391</v>
      </c>
      <c r="D20" s="31">
        <v>2500</v>
      </c>
      <c r="E20" s="98">
        <f t="shared" si="0"/>
        <v>87391</v>
      </c>
      <c r="F20" s="98">
        <f t="shared" si="1"/>
        <v>2500</v>
      </c>
      <c r="G20" s="98">
        <f t="shared" si="2"/>
        <v>87391</v>
      </c>
      <c r="H20" s="86">
        <v>22</v>
      </c>
      <c r="I20" s="69" t="s">
        <v>61</v>
      </c>
      <c r="J20" s="4"/>
    </row>
    <row r="21" spans="1:10" ht="12.75">
      <c r="A21" s="7" t="s">
        <v>42</v>
      </c>
      <c r="B21" s="65" t="s">
        <v>39</v>
      </c>
      <c r="C21" s="1">
        <v>168025</v>
      </c>
      <c r="D21" s="31">
        <v>7482</v>
      </c>
      <c r="E21" s="98">
        <f t="shared" si="0"/>
        <v>168025</v>
      </c>
      <c r="F21" s="98">
        <f t="shared" si="1"/>
        <v>7482</v>
      </c>
      <c r="G21" s="98">
        <f t="shared" si="2"/>
        <v>168025</v>
      </c>
      <c r="H21" s="86">
        <v>24</v>
      </c>
      <c r="I21" s="69" t="s">
        <v>61</v>
      </c>
      <c r="J21" s="4"/>
    </row>
    <row r="22" spans="1:10" ht="12.75">
      <c r="A22" s="12" t="s">
        <v>42</v>
      </c>
      <c r="B22" s="66" t="s">
        <v>55</v>
      </c>
      <c r="C22" s="13">
        <v>148819</v>
      </c>
      <c r="D22" s="32">
        <v>189</v>
      </c>
      <c r="E22" s="102">
        <f t="shared" si="0"/>
        <v>148819</v>
      </c>
      <c r="F22" s="102">
        <f t="shared" si="1"/>
        <v>189</v>
      </c>
      <c r="G22" s="102">
        <f t="shared" si="2"/>
        <v>148819</v>
      </c>
      <c r="H22" s="86">
        <v>26</v>
      </c>
      <c r="I22" s="69" t="s">
        <v>68</v>
      </c>
      <c r="J22" s="4"/>
    </row>
    <row r="23" spans="1:10" ht="12.75">
      <c r="A23" s="7" t="s">
        <v>42</v>
      </c>
      <c r="B23" s="65" t="s">
        <v>25</v>
      </c>
      <c r="C23" s="1">
        <v>79143</v>
      </c>
      <c r="D23" s="31">
        <v>1135</v>
      </c>
      <c r="E23" s="98">
        <f t="shared" si="0"/>
        <v>79143</v>
      </c>
      <c r="F23" s="98">
        <f t="shared" si="1"/>
        <v>1135</v>
      </c>
      <c r="G23" s="98">
        <f t="shared" si="2"/>
        <v>79143</v>
      </c>
      <c r="H23" s="86">
        <v>27</v>
      </c>
      <c r="I23" s="69" t="s">
        <v>65</v>
      </c>
      <c r="J23" s="4"/>
    </row>
    <row r="24" spans="1:10" ht="12.75">
      <c r="A24" s="7" t="s">
        <v>42</v>
      </c>
      <c r="B24" s="65" t="s">
        <v>52</v>
      </c>
      <c r="C24" s="1">
        <v>1334862</v>
      </c>
      <c r="D24" s="31">
        <v>33640</v>
      </c>
      <c r="E24" s="98">
        <f t="shared" si="0"/>
        <v>1334862</v>
      </c>
      <c r="F24" s="98">
        <f t="shared" si="1"/>
        <v>33640</v>
      </c>
      <c r="G24" s="98">
        <f t="shared" si="2"/>
        <v>1334862</v>
      </c>
      <c r="H24" s="86">
        <v>28</v>
      </c>
      <c r="I24" s="69" t="s">
        <v>61</v>
      </c>
      <c r="J24" s="4"/>
    </row>
    <row r="25" spans="1:10" ht="12.75">
      <c r="A25" s="7" t="s">
        <v>42</v>
      </c>
      <c r="B25" s="65" t="s">
        <v>24</v>
      </c>
      <c r="C25" s="1">
        <v>76010</v>
      </c>
      <c r="D25" s="31">
        <v>1115</v>
      </c>
      <c r="E25" s="98">
        <f t="shared" si="0"/>
        <v>76010</v>
      </c>
      <c r="F25" s="98">
        <f t="shared" si="1"/>
        <v>1115</v>
      </c>
      <c r="G25" s="103">
        <f t="shared" si="2"/>
        <v>76010</v>
      </c>
      <c r="H25" s="86">
        <v>30</v>
      </c>
      <c r="I25" s="69" t="s">
        <v>65</v>
      </c>
      <c r="J25" s="4"/>
    </row>
    <row r="26" spans="1:10" ht="12.75">
      <c r="A26" s="7" t="s">
        <v>42</v>
      </c>
      <c r="B26" s="65" t="s">
        <v>83</v>
      </c>
      <c r="C26" s="1">
        <v>122068</v>
      </c>
      <c r="D26" s="31">
        <v>1444</v>
      </c>
      <c r="E26" s="98">
        <f t="shared" si="0"/>
        <v>122068</v>
      </c>
      <c r="F26" s="98">
        <f t="shared" si="1"/>
        <v>1444</v>
      </c>
      <c r="G26" s="99">
        <v>0</v>
      </c>
      <c r="H26" s="86">
        <v>33</v>
      </c>
      <c r="I26" s="69" t="s">
        <v>71</v>
      </c>
      <c r="J26" s="4"/>
    </row>
    <row r="27" spans="1:10" ht="12.75">
      <c r="A27" s="7" t="s">
        <v>42</v>
      </c>
      <c r="B27" s="65" t="s">
        <v>82</v>
      </c>
      <c r="C27" s="1">
        <v>144786</v>
      </c>
      <c r="D27" s="31">
        <v>2069</v>
      </c>
      <c r="E27" s="98">
        <f t="shared" si="0"/>
        <v>144786</v>
      </c>
      <c r="F27" s="98">
        <f t="shared" si="1"/>
        <v>2069</v>
      </c>
      <c r="G27" s="99">
        <v>0</v>
      </c>
      <c r="H27" s="88">
        <v>33</v>
      </c>
      <c r="I27" s="69" t="s">
        <v>71</v>
      </c>
      <c r="J27" s="4"/>
    </row>
    <row r="28" spans="1:10" ht="12.75">
      <c r="A28" s="7" t="s">
        <v>42</v>
      </c>
      <c r="B28" s="65" t="s">
        <v>23</v>
      </c>
      <c r="C28" s="1">
        <v>18031</v>
      </c>
      <c r="D28" s="31">
        <v>500</v>
      </c>
      <c r="E28" s="98">
        <f t="shared" si="0"/>
        <v>18031</v>
      </c>
      <c r="F28" s="98">
        <f t="shared" si="1"/>
        <v>500</v>
      </c>
      <c r="G28" s="98">
        <f>IF(A28="X",E28,0)</f>
        <v>18031</v>
      </c>
      <c r="H28" s="86">
        <v>37</v>
      </c>
      <c r="I28" s="69" t="s">
        <v>61</v>
      </c>
      <c r="J28" s="4"/>
    </row>
    <row r="29" spans="1:10" ht="12.75">
      <c r="A29" s="7" t="s">
        <v>42</v>
      </c>
      <c r="B29" s="65" t="s">
        <v>33</v>
      </c>
      <c r="C29" s="1">
        <v>541391</v>
      </c>
      <c r="D29" s="31">
        <v>7500</v>
      </c>
      <c r="E29" s="98">
        <f t="shared" si="0"/>
        <v>541391</v>
      </c>
      <c r="F29" s="98">
        <f t="shared" si="1"/>
        <v>7500</v>
      </c>
      <c r="G29" s="98">
        <f>IF(A29="X",E29,0)</f>
        <v>541391</v>
      </c>
      <c r="H29" s="86">
        <v>43</v>
      </c>
      <c r="I29" s="69" t="s">
        <v>68</v>
      </c>
      <c r="J29" s="4"/>
    </row>
    <row r="30" spans="1:10" ht="13.5" thickBot="1">
      <c r="A30" s="7" t="s">
        <v>42</v>
      </c>
      <c r="B30" s="72" t="s">
        <v>111</v>
      </c>
      <c r="C30" s="45">
        <v>77464</v>
      </c>
      <c r="D30" s="46">
        <v>1332</v>
      </c>
      <c r="E30" s="98">
        <f t="shared" si="0"/>
        <v>77464</v>
      </c>
      <c r="F30" s="98">
        <f t="shared" si="1"/>
        <v>1332</v>
      </c>
      <c r="G30" s="98">
        <f>IF(A30="X",E30,0)</f>
        <v>77464</v>
      </c>
      <c r="H30" s="86">
        <v>48</v>
      </c>
      <c r="I30" s="69" t="s">
        <v>61</v>
      </c>
      <c r="J30" s="4"/>
    </row>
    <row r="31" spans="1:12" s="43" customFormat="1" ht="13.5" thickBot="1">
      <c r="A31" s="51"/>
      <c r="B31" s="73" t="s">
        <v>84</v>
      </c>
      <c r="C31" s="53"/>
      <c r="D31" s="54"/>
      <c r="E31" s="105">
        <f>SUM(E12:E30)</f>
        <v>10896636</v>
      </c>
      <c r="F31" s="105">
        <f>SUM(F12:F30)</f>
        <v>89091</v>
      </c>
      <c r="G31" s="106">
        <f>SUM(G12:G30)</f>
        <v>13329782</v>
      </c>
      <c r="H31" s="89"/>
      <c r="I31" s="75"/>
      <c r="J31" s="52"/>
      <c r="L31"/>
    </row>
    <row r="32" spans="1:12" s="43" customFormat="1" ht="13.5" thickTop="1">
      <c r="A32" s="41"/>
      <c r="B32" s="64"/>
      <c r="C32" s="21"/>
      <c r="D32" s="30"/>
      <c r="E32" s="107"/>
      <c r="F32" s="107"/>
      <c r="G32" s="107"/>
      <c r="H32" s="86"/>
      <c r="I32" s="76"/>
      <c r="J32" s="42"/>
      <c r="L32"/>
    </row>
    <row r="33" spans="1:10" ht="12.75">
      <c r="A33" s="7" t="s">
        <v>42</v>
      </c>
      <c r="B33" s="65" t="s">
        <v>22</v>
      </c>
      <c r="C33" s="1">
        <v>487758</v>
      </c>
      <c r="D33" s="31">
        <v>23047</v>
      </c>
      <c r="E33" s="98">
        <f>IF(A33="X",C33,0)</f>
        <v>487758</v>
      </c>
      <c r="F33" s="98">
        <f>IF(A33="X",D33,0)</f>
        <v>23047</v>
      </c>
      <c r="G33" s="98">
        <f>IF(A33="X",E33,0)</f>
        <v>487758</v>
      </c>
      <c r="H33" s="86">
        <v>23</v>
      </c>
      <c r="I33" s="69" t="s">
        <v>74</v>
      </c>
      <c r="J33" s="4"/>
    </row>
    <row r="34" spans="1:10" ht="12.75">
      <c r="A34" s="7" t="s">
        <v>42</v>
      </c>
      <c r="B34" s="65" t="s">
        <v>27</v>
      </c>
      <c r="C34" s="1">
        <v>23330</v>
      </c>
      <c r="D34" s="31">
        <v>0</v>
      </c>
      <c r="E34" s="98">
        <f>IF(A34="X",C34,0)</f>
        <v>23330</v>
      </c>
      <c r="F34" s="98">
        <f>IF(A34="X",D34,0)</f>
        <v>0</v>
      </c>
      <c r="G34" s="98">
        <f>IF(A34="X",E34,0)</f>
        <v>23330</v>
      </c>
      <c r="H34" s="86">
        <v>31</v>
      </c>
      <c r="I34" s="69" t="s">
        <v>66</v>
      </c>
      <c r="J34" s="4"/>
    </row>
    <row r="35" spans="1:10" ht="13.5" thickBot="1">
      <c r="A35" s="7" t="s">
        <v>42</v>
      </c>
      <c r="B35" s="72" t="s">
        <v>8</v>
      </c>
      <c r="C35" s="45">
        <v>77134</v>
      </c>
      <c r="D35" s="46">
        <v>500</v>
      </c>
      <c r="E35" s="98">
        <f>IF(A35="X",C35,0)</f>
        <v>77134</v>
      </c>
      <c r="F35" s="98">
        <f>IF(A35="X",D35,0)</f>
        <v>500</v>
      </c>
      <c r="G35" s="103">
        <f>IF(A35="X",E35,0)</f>
        <v>77134</v>
      </c>
      <c r="H35" s="86">
        <v>36</v>
      </c>
      <c r="I35" s="69" t="s">
        <v>66</v>
      </c>
      <c r="J35" s="4"/>
    </row>
    <row r="36" spans="1:12" s="55" customFormat="1" ht="13.5" thickBot="1">
      <c r="A36" s="56"/>
      <c r="B36" s="73" t="s">
        <v>84</v>
      </c>
      <c r="C36" s="53"/>
      <c r="D36" s="54"/>
      <c r="E36" s="100">
        <f>SUM(E33:E35)</f>
        <v>588222</v>
      </c>
      <c r="F36" s="100">
        <f>SUM(F33:F35)</f>
        <v>23547</v>
      </c>
      <c r="G36" s="101">
        <f>SUM(G33:G35)</f>
        <v>588222</v>
      </c>
      <c r="H36" s="90"/>
      <c r="I36" s="77"/>
      <c r="J36" s="58"/>
      <c r="L36"/>
    </row>
    <row r="37" spans="1:10" ht="13.5" thickTop="1">
      <c r="A37" s="7"/>
      <c r="B37" s="64"/>
      <c r="C37" s="21"/>
      <c r="D37" s="30"/>
      <c r="E37" s="98"/>
      <c r="F37" s="98"/>
      <c r="G37" s="103"/>
      <c r="H37" s="86"/>
      <c r="I37" s="69"/>
      <c r="J37" s="4"/>
    </row>
    <row r="38" spans="1:10" ht="12.75">
      <c r="A38" s="7" t="s">
        <v>42</v>
      </c>
      <c r="B38" s="65" t="s">
        <v>95</v>
      </c>
      <c r="C38" s="1">
        <v>55719</v>
      </c>
      <c r="D38" s="31">
        <v>1464</v>
      </c>
      <c r="E38" s="98">
        <f aca="true" t="shared" si="3" ref="E38:E43">IF(A38="X",C38,0)</f>
        <v>55719</v>
      </c>
      <c r="F38" s="98">
        <f aca="true" t="shared" si="4" ref="F38:F43">IF(A38="X",D38,0)</f>
        <v>1464</v>
      </c>
      <c r="G38" s="103">
        <f>IF(A38="X",E38,0)</f>
        <v>55719</v>
      </c>
      <c r="H38" s="86">
        <v>20</v>
      </c>
      <c r="I38" s="69" t="s">
        <v>67</v>
      </c>
      <c r="J38" s="4"/>
    </row>
    <row r="39" spans="1:10" ht="12.75">
      <c r="A39" s="12" t="s">
        <v>42</v>
      </c>
      <c r="B39" s="66" t="s">
        <v>56</v>
      </c>
      <c r="C39" s="13">
        <f>324248+100000</f>
        <v>424248</v>
      </c>
      <c r="D39" s="32">
        <v>26327</v>
      </c>
      <c r="E39" s="102">
        <f t="shared" si="3"/>
        <v>424248</v>
      </c>
      <c r="F39" s="102">
        <f t="shared" si="4"/>
        <v>26327</v>
      </c>
      <c r="G39" s="114">
        <f>IF(A39="X",E39,0)</f>
        <v>424248</v>
      </c>
      <c r="H39" s="86">
        <v>45</v>
      </c>
      <c r="I39" s="69" t="s">
        <v>63</v>
      </c>
      <c r="J39" s="4"/>
    </row>
    <row r="40" spans="1:10" ht="12.75">
      <c r="A40" s="7" t="s">
        <v>42</v>
      </c>
      <c r="B40" s="65" t="s">
        <v>30</v>
      </c>
      <c r="C40" s="1">
        <v>17961</v>
      </c>
      <c r="D40" s="31">
        <v>500</v>
      </c>
      <c r="E40" s="98">
        <f t="shared" si="3"/>
        <v>17961</v>
      </c>
      <c r="F40" s="98">
        <f t="shared" si="4"/>
        <v>500</v>
      </c>
      <c r="G40" s="99">
        <v>0</v>
      </c>
      <c r="H40" s="86">
        <v>47</v>
      </c>
      <c r="I40" s="69" t="s">
        <v>63</v>
      </c>
      <c r="J40" s="4"/>
    </row>
    <row r="41" spans="1:10" ht="12.75">
      <c r="A41" s="7" t="s">
        <v>42</v>
      </c>
      <c r="B41" s="65" t="s">
        <v>48</v>
      </c>
      <c r="C41" s="1">
        <v>136921</v>
      </c>
      <c r="D41" s="31">
        <v>3000</v>
      </c>
      <c r="E41" s="98">
        <f t="shared" si="3"/>
        <v>136921</v>
      </c>
      <c r="F41" s="98">
        <f t="shared" si="4"/>
        <v>3000</v>
      </c>
      <c r="G41" s="104">
        <v>0</v>
      </c>
      <c r="H41" s="86">
        <v>49</v>
      </c>
      <c r="I41" s="69" t="s">
        <v>63</v>
      </c>
      <c r="J41" s="4"/>
    </row>
    <row r="42" spans="1:12" s="43" customFormat="1" ht="12.75">
      <c r="A42" s="12" t="s">
        <v>42</v>
      </c>
      <c r="B42" s="66" t="s">
        <v>51</v>
      </c>
      <c r="C42" s="13">
        <f>70000*1.25</f>
        <v>87500</v>
      </c>
      <c r="D42" s="32"/>
      <c r="E42" s="102">
        <f t="shared" si="3"/>
        <v>87500</v>
      </c>
      <c r="F42" s="102">
        <f t="shared" si="4"/>
        <v>0</v>
      </c>
      <c r="G42" s="126">
        <v>0</v>
      </c>
      <c r="H42" s="86">
        <v>50</v>
      </c>
      <c r="I42" s="76" t="s">
        <v>63</v>
      </c>
      <c r="J42" s="42"/>
      <c r="L42"/>
    </row>
    <row r="43" spans="1:12" s="43" customFormat="1" ht="13.5" thickBot="1">
      <c r="A43" s="41" t="s">
        <v>42</v>
      </c>
      <c r="B43" s="72" t="s">
        <v>18</v>
      </c>
      <c r="C43" s="45">
        <v>39831</v>
      </c>
      <c r="D43" s="46">
        <v>500</v>
      </c>
      <c r="E43" s="107">
        <f t="shared" si="3"/>
        <v>39831</v>
      </c>
      <c r="F43" s="107">
        <f t="shared" si="4"/>
        <v>500</v>
      </c>
      <c r="G43" s="108">
        <v>0</v>
      </c>
      <c r="H43" s="86">
        <v>51</v>
      </c>
      <c r="I43" s="76" t="s">
        <v>63</v>
      </c>
      <c r="J43" s="42"/>
      <c r="L43"/>
    </row>
    <row r="44" spans="1:12" s="55" customFormat="1" ht="13.5" thickBot="1">
      <c r="A44" s="56"/>
      <c r="B44" s="73" t="s">
        <v>84</v>
      </c>
      <c r="C44" s="53"/>
      <c r="D44" s="54"/>
      <c r="E44" s="100">
        <f>SUM(E38:E43)</f>
        <v>762180</v>
      </c>
      <c r="F44" s="100">
        <f>SUM(F38:F43)</f>
        <v>31791</v>
      </c>
      <c r="G44" s="101">
        <f>SUM(G38:G43)</f>
        <v>479967</v>
      </c>
      <c r="H44" s="90"/>
      <c r="I44" s="77"/>
      <c r="J44" s="58"/>
      <c r="L44"/>
    </row>
    <row r="45" spans="1:10" ht="13.5" thickTop="1">
      <c r="A45" s="7"/>
      <c r="B45" s="64"/>
      <c r="C45" s="21"/>
      <c r="D45" s="30"/>
      <c r="E45" s="98"/>
      <c r="F45" s="98"/>
      <c r="G45" s="103"/>
      <c r="H45" s="86"/>
      <c r="I45" s="69"/>
      <c r="J45" s="4"/>
    </row>
    <row r="46" spans="1:10" ht="12.75">
      <c r="A46" s="7" t="s">
        <v>42</v>
      </c>
      <c r="B46" s="65" t="s">
        <v>12</v>
      </c>
      <c r="C46" s="1">
        <v>20833</v>
      </c>
      <c r="D46" s="31">
        <v>2500</v>
      </c>
      <c r="E46" s="98">
        <f aca="true" t="shared" si="5" ref="E46:E55">IF(A46="X",C46,0)</f>
        <v>20833</v>
      </c>
      <c r="F46" s="98">
        <f aca="true" t="shared" si="6" ref="F46:F55">IF(A46="X",D46,0)</f>
        <v>2500</v>
      </c>
      <c r="G46" s="103">
        <f>IF(A46="X",E46,0)</f>
        <v>20833</v>
      </c>
      <c r="H46" s="86">
        <v>1</v>
      </c>
      <c r="I46" s="69" t="s">
        <v>57</v>
      </c>
      <c r="J46" s="16">
        <f aca="true" t="shared" si="7" ref="J46:J55">E46/F46</f>
        <v>8.3332</v>
      </c>
    </row>
    <row r="47" spans="1:10" ht="12.75">
      <c r="A47" s="7" t="s">
        <v>42</v>
      </c>
      <c r="B47" s="65" t="s">
        <v>10</v>
      </c>
      <c r="C47" s="1">
        <v>5075</v>
      </c>
      <c r="D47" s="31">
        <v>543</v>
      </c>
      <c r="E47" s="98">
        <f t="shared" si="5"/>
        <v>5075</v>
      </c>
      <c r="F47" s="98">
        <f t="shared" si="6"/>
        <v>543</v>
      </c>
      <c r="G47" s="103">
        <f>IF(A47="X",E47,0)</f>
        <v>5075</v>
      </c>
      <c r="H47" s="86">
        <v>3</v>
      </c>
      <c r="I47" s="69" t="s">
        <v>59</v>
      </c>
      <c r="J47" s="16">
        <f t="shared" si="7"/>
        <v>9.34622467771639</v>
      </c>
    </row>
    <row r="48" spans="1:10" ht="12.75">
      <c r="A48" s="7" t="s">
        <v>42</v>
      </c>
      <c r="B48" s="65" t="s">
        <v>6</v>
      </c>
      <c r="C48" s="1">
        <v>465375</v>
      </c>
      <c r="D48" s="31">
        <v>49212</v>
      </c>
      <c r="E48" s="98">
        <f t="shared" si="5"/>
        <v>465375</v>
      </c>
      <c r="F48" s="98">
        <f t="shared" si="6"/>
        <v>49212</v>
      </c>
      <c r="G48" s="104">
        <v>0</v>
      </c>
      <c r="H48" s="86">
        <v>6</v>
      </c>
      <c r="I48" s="69" t="s">
        <v>57</v>
      </c>
      <c r="J48" s="16">
        <f t="shared" si="7"/>
        <v>9.456534991465496</v>
      </c>
    </row>
    <row r="49" spans="1:10" ht="12.75">
      <c r="A49" s="7" t="s">
        <v>42</v>
      </c>
      <c r="B49" s="65" t="s">
        <v>14</v>
      </c>
      <c r="C49" s="1">
        <v>10334</v>
      </c>
      <c r="D49" s="31">
        <v>5244</v>
      </c>
      <c r="E49" s="98">
        <f t="shared" si="5"/>
        <v>10334</v>
      </c>
      <c r="F49" s="98">
        <f t="shared" si="6"/>
        <v>5244</v>
      </c>
      <c r="G49" s="104">
        <v>0</v>
      </c>
      <c r="H49" s="86">
        <v>8</v>
      </c>
      <c r="I49" s="69" t="s">
        <v>57</v>
      </c>
      <c r="J49" s="16">
        <f t="shared" si="7"/>
        <v>1.9706331045003813</v>
      </c>
    </row>
    <row r="50" spans="1:10" ht="12.75">
      <c r="A50" s="7" t="s">
        <v>42</v>
      </c>
      <c r="B50" s="65" t="s">
        <v>11</v>
      </c>
      <c r="C50" s="1">
        <v>6957</v>
      </c>
      <c r="D50" s="31">
        <v>342</v>
      </c>
      <c r="E50" s="98">
        <f t="shared" si="5"/>
        <v>6957</v>
      </c>
      <c r="F50" s="98">
        <f t="shared" si="6"/>
        <v>342</v>
      </c>
      <c r="G50" s="98">
        <f>IF(A50="X",E50,0)</f>
        <v>6957</v>
      </c>
      <c r="H50" s="86">
        <v>10</v>
      </c>
      <c r="I50" s="69" t="s">
        <v>57</v>
      </c>
      <c r="J50" s="16">
        <f t="shared" si="7"/>
        <v>20.342105263157894</v>
      </c>
    </row>
    <row r="51" spans="1:10" ht="12.75">
      <c r="A51" s="7" t="s">
        <v>42</v>
      </c>
      <c r="B51" s="65" t="s">
        <v>13</v>
      </c>
      <c r="C51" s="1">
        <v>6231</v>
      </c>
      <c r="D51" s="31">
        <v>2000</v>
      </c>
      <c r="E51" s="98">
        <f t="shared" si="5"/>
        <v>6231</v>
      </c>
      <c r="F51" s="98">
        <f t="shared" si="6"/>
        <v>2000</v>
      </c>
      <c r="G51" s="103">
        <f>IF(A51="X",E51,0)</f>
        <v>6231</v>
      </c>
      <c r="H51" s="86">
        <v>15</v>
      </c>
      <c r="I51" s="69" t="s">
        <v>57</v>
      </c>
      <c r="J51" s="16">
        <f t="shared" si="7"/>
        <v>3.1155</v>
      </c>
    </row>
    <row r="52" spans="1:10" ht="12.75">
      <c r="A52" s="7" t="s">
        <v>42</v>
      </c>
      <c r="B52" s="65" t="s">
        <v>7</v>
      </c>
      <c r="C52" s="1">
        <f>567402+10000</f>
        <v>577402</v>
      </c>
      <c r="D52" s="31">
        <v>42719.5</v>
      </c>
      <c r="E52" s="98">
        <f t="shared" si="5"/>
        <v>577402</v>
      </c>
      <c r="F52" s="98">
        <f t="shared" si="6"/>
        <v>42719.5</v>
      </c>
      <c r="G52" s="99">
        <v>0</v>
      </c>
      <c r="H52" s="86">
        <v>21</v>
      </c>
      <c r="I52" s="69" t="s">
        <v>58</v>
      </c>
      <c r="J52" s="16">
        <f t="shared" si="7"/>
        <v>13.516122613794638</v>
      </c>
    </row>
    <row r="53" spans="1:10" ht="12.75">
      <c r="A53" s="7" t="s">
        <v>42</v>
      </c>
      <c r="B53" s="65" t="s">
        <v>9</v>
      </c>
      <c r="C53" s="1">
        <v>130023</v>
      </c>
      <c r="D53" s="31">
        <v>8214</v>
      </c>
      <c r="E53" s="98">
        <f t="shared" si="5"/>
        <v>130023</v>
      </c>
      <c r="F53" s="98">
        <f t="shared" si="6"/>
        <v>8214</v>
      </c>
      <c r="G53" s="104">
        <v>0</v>
      </c>
      <c r="H53" s="86">
        <v>25</v>
      </c>
      <c r="I53" s="69" t="s">
        <v>58</v>
      </c>
      <c r="J53" s="16">
        <f t="shared" si="7"/>
        <v>15.829437545653763</v>
      </c>
    </row>
    <row r="54" spans="1:10" ht="12.75">
      <c r="A54" s="7" t="s">
        <v>42</v>
      </c>
      <c r="B54" s="65" t="s">
        <v>31</v>
      </c>
      <c r="C54" s="1">
        <v>69846</v>
      </c>
      <c r="D54" s="31">
        <v>6097</v>
      </c>
      <c r="E54" s="98">
        <f t="shared" si="5"/>
        <v>69846</v>
      </c>
      <c r="F54" s="98">
        <f t="shared" si="6"/>
        <v>6097</v>
      </c>
      <c r="G54" s="99">
        <v>0</v>
      </c>
      <c r="H54" s="86">
        <v>29</v>
      </c>
      <c r="I54" s="69" t="s">
        <v>57</v>
      </c>
      <c r="J54" s="16">
        <f t="shared" si="7"/>
        <v>11.455797933409874</v>
      </c>
    </row>
    <row r="55" spans="1:10" ht="12.75">
      <c r="A55" s="7" t="s">
        <v>42</v>
      </c>
      <c r="B55" s="67" t="s">
        <v>34</v>
      </c>
      <c r="C55" s="1">
        <v>40139</v>
      </c>
      <c r="D55" s="31">
        <v>2500</v>
      </c>
      <c r="E55" s="98">
        <f t="shared" si="5"/>
        <v>40139</v>
      </c>
      <c r="F55" s="98">
        <f t="shared" si="6"/>
        <v>2500</v>
      </c>
      <c r="G55" s="103">
        <f>IF(A55="X",E55,0)</f>
        <v>40139</v>
      </c>
      <c r="H55" s="86">
        <v>44</v>
      </c>
      <c r="I55" s="69" t="s">
        <v>57</v>
      </c>
      <c r="J55" s="16">
        <f t="shared" si="7"/>
        <v>16.0556</v>
      </c>
    </row>
    <row r="56" spans="1:12" s="43" customFormat="1" ht="13.5" thickBot="1">
      <c r="A56" s="41"/>
      <c r="B56" s="72"/>
      <c r="C56" s="45"/>
      <c r="D56" s="46"/>
      <c r="E56" s="107"/>
      <c r="F56" s="107"/>
      <c r="G56" s="108"/>
      <c r="H56" s="86"/>
      <c r="I56" s="76"/>
      <c r="J56" s="70"/>
      <c r="L56"/>
    </row>
    <row r="57" spans="1:12" s="55" customFormat="1" ht="13.5" thickBot="1">
      <c r="A57" s="56"/>
      <c r="B57" s="73" t="s">
        <v>84</v>
      </c>
      <c r="C57" s="53"/>
      <c r="D57" s="54"/>
      <c r="E57" s="100">
        <f>SUM(E46:E56)</f>
        <v>1332215</v>
      </c>
      <c r="F57" s="100">
        <f>SUM(F46:F56)</f>
        <v>119371.5</v>
      </c>
      <c r="G57" s="101">
        <f>SUM(G46:G56)</f>
        <v>79235</v>
      </c>
      <c r="H57" s="90"/>
      <c r="I57" s="77"/>
      <c r="J57" s="59"/>
      <c r="L57"/>
    </row>
    <row r="58" spans="1:10" ht="13.5" thickTop="1">
      <c r="A58" s="7"/>
      <c r="B58" s="64"/>
      <c r="C58" s="21"/>
      <c r="D58" s="30"/>
      <c r="E58" s="98"/>
      <c r="F58" s="98"/>
      <c r="G58" s="98"/>
      <c r="H58" s="86"/>
      <c r="I58" s="69"/>
      <c r="J58" s="16"/>
    </row>
    <row r="59" spans="1:10" ht="12.75">
      <c r="A59" s="7" t="s">
        <v>42</v>
      </c>
      <c r="B59" s="65" t="s">
        <v>96</v>
      </c>
      <c r="C59" s="1">
        <v>24033</v>
      </c>
      <c r="D59" s="31">
        <v>549</v>
      </c>
      <c r="E59" s="98">
        <f aca="true" t="shared" si="8" ref="E59:E69">IF(A59="X",C59,0)</f>
        <v>24033</v>
      </c>
      <c r="F59" s="98">
        <f aca="true" t="shared" si="9" ref="F59:F69">IF(A59="X",D59,0)</f>
        <v>549</v>
      </c>
      <c r="G59" s="98">
        <f>IF(A59="X",E59,0)</f>
        <v>24033</v>
      </c>
      <c r="H59" s="86">
        <v>11</v>
      </c>
      <c r="I59" s="69" t="s">
        <v>64</v>
      </c>
      <c r="J59" s="4"/>
    </row>
    <row r="60" spans="1:10" ht="12.75">
      <c r="A60" s="7"/>
      <c r="B60" s="65" t="s">
        <v>44</v>
      </c>
      <c r="C60" s="1">
        <v>405000</v>
      </c>
      <c r="D60" s="31">
        <v>16050.353304552624</v>
      </c>
      <c r="E60" s="98">
        <f t="shared" si="8"/>
        <v>0</v>
      </c>
      <c r="F60" s="98">
        <f t="shared" si="9"/>
        <v>0</v>
      </c>
      <c r="G60" s="98">
        <f>IF(A60="X",E60,0)</f>
        <v>0</v>
      </c>
      <c r="H60" s="86">
        <v>14</v>
      </c>
      <c r="I60" s="69" t="s">
        <v>69</v>
      </c>
      <c r="J60" s="4"/>
    </row>
    <row r="61" spans="1:10" ht="12.75">
      <c r="A61" s="7" t="s">
        <v>42</v>
      </c>
      <c r="B61" s="65" t="s">
        <v>45</v>
      </c>
      <c r="C61" s="1">
        <v>285791</v>
      </c>
      <c r="D61" s="31">
        <v>0</v>
      </c>
      <c r="E61" s="98">
        <f t="shared" si="8"/>
        <v>285791</v>
      </c>
      <c r="F61" s="98">
        <f t="shared" si="9"/>
        <v>0</v>
      </c>
      <c r="G61" s="103">
        <f>IF(A61="X",E61,0)</f>
        <v>285791</v>
      </c>
      <c r="H61" s="86">
        <v>18</v>
      </c>
      <c r="I61" s="69" t="s">
        <v>64</v>
      </c>
      <c r="J61" s="4"/>
    </row>
    <row r="62" spans="1:10" ht="12.75">
      <c r="A62" s="7" t="s">
        <v>42</v>
      </c>
      <c r="B62" s="65" t="s">
        <v>32</v>
      </c>
      <c r="C62" s="1">
        <v>137437</v>
      </c>
      <c r="D62" s="31">
        <v>4121</v>
      </c>
      <c r="E62" s="98">
        <f t="shared" si="8"/>
        <v>137437</v>
      </c>
      <c r="F62" s="98">
        <f t="shared" si="9"/>
        <v>4121</v>
      </c>
      <c r="G62" s="98">
        <f>IF(A62="X",E62,0)</f>
        <v>137437</v>
      </c>
      <c r="H62" s="86">
        <v>19</v>
      </c>
      <c r="I62" s="69" t="s">
        <v>69</v>
      </c>
      <c r="J62" s="4"/>
    </row>
    <row r="63" spans="1:10" ht="12.75">
      <c r="A63" s="7" t="s">
        <v>42</v>
      </c>
      <c r="B63" s="65" t="s">
        <v>29</v>
      </c>
      <c r="C63" s="1">
        <v>10319</v>
      </c>
      <c r="D63" s="31">
        <v>1500</v>
      </c>
      <c r="E63" s="98">
        <f t="shared" si="8"/>
        <v>10319</v>
      </c>
      <c r="F63" s="98">
        <f t="shared" si="9"/>
        <v>1500</v>
      </c>
      <c r="G63" s="103">
        <f>IF(A63="X",E63,0)</f>
        <v>10319</v>
      </c>
      <c r="H63" s="86">
        <v>34</v>
      </c>
      <c r="I63" s="69" t="s">
        <v>64</v>
      </c>
      <c r="J63" s="4"/>
    </row>
    <row r="64" spans="1:10" ht="12.75">
      <c r="A64" s="7" t="s">
        <v>42</v>
      </c>
      <c r="B64" s="65" t="s">
        <v>36</v>
      </c>
      <c r="C64" s="1">
        <v>25509</v>
      </c>
      <c r="D64" s="31">
        <v>15098</v>
      </c>
      <c r="E64" s="98">
        <f t="shared" si="8"/>
        <v>25509</v>
      </c>
      <c r="F64" s="98">
        <f t="shared" si="9"/>
        <v>15098</v>
      </c>
      <c r="G64" s="99">
        <v>0</v>
      </c>
      <c r="H64" s="86">
        <v>35</v>
      </c>
      <c r="I64" s="69" t="s">
        <v>64</v>
      </c>
      <c r="J64" s="4"/>
    </row>
    <row r="65" spans="1:10" ht="12.75">
      <c r="A65" s="41" t="s">
        <v>42</v>
      </c>
      <c r="B65" s="65" t="s">
        <v>38</v>
      </c>
      <c r="C65" s="1">
        <v>1617630</v>
      </c>
      <c r="D65" s="31">
        <v>39023</v>
      </c>
      <c r="E65" s="107">
        <f t="shared" si="8"/>
        <v>1617630</v>
      </c>
      <c r="F65" s="107">
        <f t="shared" si="9"/>
        <v>39023</v>
      </c>
      <c r="G65" s="115">
        <v>0</v>
      </c>
      <c r="H65" s="86">
        <v>38</v>
      </c>
      <c r="I65" s="69" t="s">
        <v>72</v>
      </c>
      <c r="J65" s="4"/>
    </row>
    <row r="66" spans="1:10" ht="12.75">
      <c r="A66" s="12" t="s">
        <v>42</v>
      </c>
      <c r="B66" s="66" t="s">
        <v>35</v>
      </c>
      <c r="C66" s="13">
        <v>9501677</v>
      </c>
      <c r="D66" s="32">
        <v>329616</v>
      </c>
      <c r="E66" s="102">
        <f t="shared" si="8"/>
        <v>9501677</v>
      </c>
      <c r="F66" s="102">
        <f t="shared" si="9"/>
        <v>329616</v>
      </c>
      <c r="G66" s="102">
        <f>IF(A66="X",2126450,0)</f>
        <v>2126450</v>
      </c>
      <c r="H66" s="86">
        <v>39</v>
      </c>
      <c r="I66" s="69" t="s">
        <v>70</v>
      </c>
      <c r="J66" s="4"/>
    </row>
    <row r="67" spans="1:10" ht="12.75">
      <c r="A67" s="7" t="s">
        <v>42</v>
      </c>
      <c r="B67" s="65" t="s">
        <v>37</v>
      </c>
      <c r="C67" s="1">
        <v>187123</v>
      </c>
      <c r="D67" s="31">
        <v>10144</v>
      </c>
      <c r="E67" s="98">
        <f t="shared" si="8"/>
        <v>187123</v>
      </c>
      <c r="F67" s="98">
        <f t="shared" si="9"/>
        <v>10144</v>
      </c>
      <c r="G67" s="104">
        <v>0</v>
      </c>
      <c r="H67" s="86">
        <v>40</v>
      </c>
      <c r="I67" s="69" t="s">
        <v>64</v>
      </c>
      <c r="J67" s="4"/>
    </row>
    <row r="68" spans="1:10" ht="12.75">
      <c r="A68" s="12" t="s">
        <v>42</v>
      </c>
      <c r="B68" s="66" t="s">
        <v>97</v>
      </c>
      <c r="C68" s="13">
        <v>436295</v>
      </c>
      <c r="D68" s="32">
        <v>8619</v>
      </c>
      <c r="E68" s="102">
        <f t="shared" si="8"/>
        <v>436295</v>
      </c>
      <c r="F68" s="102">
        <f t="shared" si="9"/>
        <v>8619</v>
      </c>
      <c r="G68" s="102">
        <f>IF(A68="X",100000,0)</f>
        <v>100000</v>
      </c>
      <c r="H68" s="86">
        <v>41</v>
      </c>
      <c r="I68" s="69" t="s">
        <v>60</v>
      </c>
      <c r="J68" s="4"/>
    </row>
    <row r="69" spans="1:10" ht="13.5" thickBot="1">
      <c r="A69" s="7" t="s">
        <v>42</v>
      </c>
      <c r="B69" s="72" t="s">
        <v>26</v>
      </c>
      <c r="C69" s="45">
        <v>295796</v>
      </c>
      <c r="D69" s="46">
        <v>500</v>
      </c>
      <c r="E69" s="98">
        <f t="shared" si="8"/>
        <v>295796</v>
      </c>
      <c r="F69" s="98">
        <f t="shared" si="9"/>
        <v>500</v>
      </c>
      <c r="G69" s="104">
        <v>0</v>
      </c>
      <c r="H69" s="86">
        <v>46</v>
      </c>
      <c r="I69" s="69" t="s">
        <v>64</v>
      </c>
      <c r="J69" s="4"/>
    </row>
    <row r="70" spans="1:12" s="55" customFormat="1" ht="13.5" thickBot="1">
      <c r="A70" s="56"/>
      <c r="B70" s="73" t="s">
        <v>84</v>
      </c>
      <c r="C70" s="60"/>
      <c r="D70" s="61"/>
      <c r="E70" s="100">
        <f>SUM(E59:E69)</f>
        <v>12521610</v>
      </c>
      <c r="F70" s="100">
        <f>SUM(F59:F69)</f>
        <v>409170</v>
      </c>
      <c r="G70" s="101">
        <f>SUM(G59:G69)</f>
        <v>2684030</v>
      </c>
      <c r="H70" s="90"/>
      <c r="I70" s="57"/>
      <c r="J70" s="58"/>
      <c r="L70"/>
    </row>
    <row r="71" spans="1:10" ht="13.5" thickTop="1">
      <c r="A71" s="7"/>
      <c r="B71" s="68"/>
      <c r="C71" s="11"/>
      <c r="D71" s="33"/>
      <c r="E71" s="98"/>
      <c r="F71" s="98"/>
      <c r="G71" s="103"/>
      <c r="H71" s="86"/>
      <c r="I71" s="10"/>
      <c r="J71" s="4"/>
    </row>
    <row r="72" spans="1:10" ht="12.75">
      <c r="A72" s="7" t="s">
        <v>42</v>
      </c>
      <c r="B72" s="68" t="s">
        <v>40</v>
      </c>
      <c r="C72" s="11">
        <v>275604</v>
      </c>
      <c r="D72" s="33">
        <v>0</v>
      </c>
      <c r="E72" s="98">
        <f>IF(A72="X",C72,0)</f>
        <v>275604</v>
      </c>
      <c r="F72" s="98">
        <f>IF(A72="X",D72,0)</f>
        <v>0</v>
      </c>
      <c r="G72" s="99">
        <v>0</v>
      </c>
      <c r="H72" s="76"/>
      <c r="I72" s="10"/>
      <c r="J72" s="4"/>
    </row>
    <row r="73" spans="1:10" ht="13.5" thickBot="1">
      <c r="A73" s="7"/>
      <c r="B73" s="19"/>
      <c r="C73" s="11"/>
      <c r="D73" s="33"/>
      <c r="E73" s="98"/>
      <c r="F73" s="109"/>
      <c r="G73" s="110"/>
      <c r="H73" s="71"/>
      <c r="I73" s="10"/>
      <c r="J73" s="18"/>
    </row>
    <row r="74" spans="1:9" ht="13.5" thickBot="1">
      <c r="A74" s="9"/>
      <c r="B74" s="40" t="s">
        <v>43</v>
      </c>
      <c r="C74" s="2">
        <f>SUM(C8:C72)</f>
        <v>27574865</v>
      </c>
      <c r="D74" s="2">
        <f>SUM(D8:D72)</f>
        <v>690234.8533045526</v>
      </c>
      <c r="E74" s="111">
        <f>SUM(E8:E72)-E70-E57-E44-E36-E31-E10</f>
        <v>27169865</v>
      </c>
      <c r="F74" s="111">
        <f>SUM(F8:F72)-F70-F57-F44-F36-F31-F10</f>
        <v>674184.5</v>
      </c>
      <c r="G74" s="112">
        <f>SUM(G8:G72)-G70-G57-G44-G36-G31-G10</f>
        <v>17161236</v>
      </c>
      <c r="H74" s="91"/>
      <c r="I74" s="34"/>
    </row>
    <row r="75" spans="5:8" ht="12.75">
      <c r="E75" s="113"/>
      <c r="F75" s="113"/>
      <c r="G75" s="113"/>
      <c r="H75" s="93"/>
    </row>
    <row r="76" spans="1:10" ht="12.75">
      <c r="A76" s="5" t="s">
        <v>91</v>
      </c>
      <c r="B76" t="s">
        <v>104</v>
      </c>
      <c r="E76" s="125">
        <f>E17+E22+E39+E42+E66+E68</f>
        <v>16398539</v>
      </c>
      <c r="F76" s="125">
        <f>SUM(F66+F68+F39+F17+F22+F69)</f>
        <v>365251</v>
      </c>
      <c r="G76" s="125">
        <f>SUM(G66+G68+G39+G17+G22+G69)</f>
        <v>11299517</v>
      </c>
      <c r="H76" s="93"/>
      <c r="J76" s="127"/>
    </row>
    <row r="77" spans="1:8" ht="12.75">
      <c r="A77" s="5" t="s">
        <v>106</v>
      </c>
      <c r="B77" t="s">
        <v>105</v>
      </c>
      <c r="E77" s="125">
        <f>SUM(E74-E76)</f>
        <v>10771326</v>
      </c>
      <c r="F77" s="125">
        <f>SUM(F74-F76)</f>
        <v>308933.5</v>
      </c>
      <c r="G77" s="125">
        <f>SUM(G74-G76)</f>
        <v>5861719</v>
      </c>
      <c r="H77" s="93"/>
    </row>
    <row r="78" spans="5:8" ht="12.75">
      <c r="E78" s="113"/>
      <c r="F78" s="113"/>
      <c r="G78" s="113"/>
      <c r="H78" s="93"/>
    </row>
    <row r="79" spans="5:8" ht="12.75">
      <c r="E79" s="113"/>
      <c r="F79" s="113"/>
      <c r="G79" s="113"/>
      <c r="H79" s="93"/>
    </row>
    <row r="80" spans="5:8" ht="12.75">
      <c r="E80" s="113"/>
      <c r="F80" s="113"/>
      <c r="G80" s="113"/>
      <c r="H80" s="93"/>
    </row>
    <row r="81" spans="5:8" ht="12.75">
      <c r="E81" s="113"/>
      <c r="F81" s="113"/>
      <c r="G81" s="113"/>
      <c r="H81" s="93"/>
    </row>
    <row r="82" spans="5:8" ht="12.75">
      <c r="E82" s="113"/>
      <c r="F82" s="113"/>
      <c r="G82" s="113"/>
      <c r="H82" s="93"/>
    </row>
    <row r="83" spans="5:8" ht="12.75">
      <c r="E83" s="113"/>
      <c r="F83" s="113"/>
      <c r="G83" s="113"/>
      <c r="H83" s="93"/>
    </row>
    <row r="84" spans="5:8" ht="12.75">
      <c r="E84" s="113"/>
      <c r="F84" s="113"/>
      <c r="G84" s="113"/>
      <c r="H84" s="93"/>
    </row>
    <row r="85" spans="5:8" ht="12.75">
      <c r="E85" s="113"/>
      <c r="F85" s="113"/>
      <c r="G85" s="113"/>
      <c r="H85" s="93"/>
    </row>
    <row r="86" spans="5:8" ht="12.75">
      <c r="E86" s="113"/>
      <c r="F86" s="113"/>
      <c r="G86" s="113"/>
      <c r="H86" s="93"/>
    </row>
    <row r="87" spans="5:8" ht="12.75">
      <c r="E87" s="113"/>
      <c r="F87" s="113"/>
      <c r="G87" s="113"/>
      <c r="H87" s="93"/>
    </row>
    <row r="88" spans="5:8" ht="12.75">
      <c r="E88" s="113"/>
      <c r="F88" s="113"/>
      <c r="G88" s="113"/>
      <c r="H88" s="93"/>
    </row>
    <row r="89" spans="5:8" ht="12.75">
      <c r="E89" s="113"/>
      <c r="F89" s="113"/>
      <c r="G89" s="113"/>
      <c r="H89" s="93"/>
    </row>
    <row r="90" spans="5:8" ht="12.75">
      <c r="E90" s="113"/>
      <c r="F90" s="113"/>
      <c r="G90" s="113"/>
      <c r="H90" s="93"/>
    </row>
    <row r="91" spans="5:8" ht="12.75">
      <c r="E91" s="113"/>
      <c r="F91" s="113"/>
      <c r="G91" s="113"/>
      <c r="H91" s="93"/>
    </row>
    <row r="92" spans="5:8" ht="12.75">
      <c r="E92" s="113"/>
      <c r="F92" s="113"/>
      <c r="G92" s="113"/>
      <c r="H92" s="93"/>
    </row>
    <row r="93" spans="5:8" ht="12.75">
      <c r="E93" s="113"/>
      <c r="F93" s="113"/>
      <c r="G93" s="113"/>
      <c r="H93" s="93"/>
    </row>
    <row r="94" spans="5:8" ht="12.75">
      <c r="E94" s="113"/>
      <c r="F94" s="113"/>
      <c r="G94" s="113"/>
      <c r="H94" s="93"/>
    </row>
    <row r="95" spans="5:8" ht="12.75">
      <c r="E95" s="113"/>
      <c r="F95" s="113"/>
      <c r="G95" s="113"/>
      <c r="H95" s="93"/>
    </row>
    <row r="96" spans="5:8" ht="12.75">
      <c r="E96" s="113"/>
      <c r="F96" s="113"/>
      <c r="G96" s="113"/>
      <c r="H96" s="93"/>
    </row>
    <row r="97" spans="5:8" ht="12.75">
      <c r="E97" s="113"/>
      <c r="F97" s="113"/>
      <c r="G97" s="113"/>
      <c r="H97" s="93"/>
    </row>
    <row r="98" spans="5:8" ht="12.75">
      <c r="E98" s="113"/>
      <c r="F98" s="113"/>
      <c r="G98" s="113"/>
      <c r="H98" s="93"/>
    </row>
    <row r="99" spans="5:8" ht="12.75">
      <c r="E99" s="113"/>
      <c r="F99" s="113"/>
      <c r="G99" s="113"/>
      <c r="H99" s="93"/>
    </row>
    <row r="100" spans="5:8" ht="12.75">
      <c r="E100" s="113"/>
      <c r="F100" s="113"/>
      <c r="G100" s="113"/>
      <c r="H100" s="93"/>
    </row>
    <row r="101" spans="5:8" ht="12.75">
      <c r="E101" s="113"/>
      <c r="F101" s="113"/>
      <c r="G101" s="113"/>
      <c r="H101" s="93"/>
    </row>
    <row r="102" spans="5:8" ht="12.75">
      <c r="E102" s="113"/>
      <c r="F102" s="113"/>
      <c r="G102" s="113"/>
      <c r="H102" s="93"/>
    </row>
    <row r="103" spans="5:8" ht="12.75">
      <c r="E103" s="113"/>
      <c r="F103" s="113"/>
      <c r="G103" s="113"/>
      <c r="H103" s="93"/>
    </row>
    <row r="104" spans="5:8" ht="12.75">
      <c r="E104" s="113"/>
      <c r="F104" s="113"/>
      <c r="G104" s="113"/>
      <c r="H104" s="93"/>
    </row>
    <row r="105" spans="5:8" ht="12.75">
      <c r="E105" s="113"/>
      <c r="F105" s="113"/>
      <c r="G105" s="113"/>
      <c r="H105" s="93"/>
    </row>
    <row r="106" spans="5:8" ht="12.75">
      <c r="E106" s="113"/>
      <c r="F106" s="113"/>
      <c r="G106" s="113"/>
      <c r="H106" s="93"/>
    </row>
    <row r="107" spans="5:8" ht="12.75">
      <c r="E107" s="113"/>
      <c r="F107" s="113"/>
      <c r="G107" s="113"/>
      <c r="H107" s="93"/>
    </row>
    <row r="108" spans="5:8" ht="12.75">
      <c r="E108" s="113"/>
      <c r="F108" s="113"/>
      <c r="G108" s="113"/>
      <c r="H108" s="93"/>
    </row>
    <row r="109" spans="5:8" ht="12.75">
      <c r="E109" s="113"/>
      <c r="F109" s="113"/>
      <c r="G109" s="113"/>
      <c r="H109" s="93"/>
    </row>
    <row r="110" spans="5:8" ht="12.75">
      <c r="E110" s="113"/>
      <c r="F110" s="113"/>
      <c r="G110" s="113"/>
      <c r="H110" s="93"/>
    </row>
    <row r="111" spans="5:8" ht="12.75">
      <c r="E111" s="113"/>
      <c r="F111" s="113"/>
      <c r="G111" s="113"/>
      <c r="H111" s="93"/>
    </row>
    <row r="112" spans="5:8" ht="12.75">
      <c r="E112" s="113"/>
      <c r="F112" s="113"/>
      <c r="G112" s="113"/>
      <c r="H112" s="93"/>
    </row>
    <row r="113" spans="5:8" ht="12.75">
      <c r="E113" s="113"/>
      <c r="F113" s="113"/>
      <c r="G113" s="113"/>
      <c r="H113" s="93"/>
    </row>
    <row r="114" spans="5:8" ht="12.75">
      <c r="E114" s="113"/>
      <c r="F114" s="113"/>
      <c r="G114" s="113"/>
      <c r="H114" s="93"/>
    </row>
    <row r="115" spans="5:8" ht="12.75">
      <c r="E115" s="113"/>
      <c r="F115" s="113"/>
      <c r="G115" s="113"/>
      <c r="H115" s="93"/>
    </row>
    <row r="116" spans="5:8" ht="12.75">
      <c r="E116" s="113"/>
      <c r="F116" s="113"/>
      <c r="G116" s="113"/>
      <c r="H116" s="93"/>
    </row>
    <row r="117" spans="5:8" ht="12.75">
      <c r="E117" s="113"/>
      <c r="F117" s="113"/>
      <c r="G117" s="113"/>
      <c r="H117" s="93"/>
    </row>
    <row r="118" spans="5:8" ht="12.75">
      <c r="E118" s="113"/>
      <c r="F118" s="113"/>
      <c r="G118" s="113"/>
      <c r="H118" s="93"/>
    </row>
    <row r="119" spans="5:8" ht="12.75">
      <c r="E119" s="113"/>
      <c r="F119" s="113"/>
      <c r="G119" s="113"/>
      <c r="H119" s="93"/>
    </row>
    <row r="120" spans="5:8" ht="12.75">
      <c r="E120" s="113"/>
      <c r="F120" s="113"/>
      <c r="G120" s="113"/>
      <c r="H120" s="93"/>
    </row>
    <row r="121" spans="5:8" ht="12.75">
      <c r="E121" s="113"/>
      <c r="F121" s="113"/>
      <c r="G121" s="113"/>
      <c r="H121" s="93"/>
    </row>
    <row r="122" spans="5:8" ht="12.75">
      <c r="E122" s="113"/>
      <c r="F122" s="113"/>
      <c r="G122" s="113"/>
      <c r="H122" s="93"/>
    </row>
    <row r="123" spans="5:8" ht="12.75">
      <c r="E123" s="113"/>
      <c r="F123" s="113"/>
      <c r="G123" s="113"/>
      <c r="H123" s="93"/>
    </row>
    <row r="124" spans="5:8" ht="12.75">
      <c r="E124" s="113"/>
      <c r="F124" s="113"/>
      <c r="G124" s="113"/>
      <c r="H124" s="93"/>
    </row>
    <row r="125" spans="5:8" ht="12.75">
      <c r="E125" s="113"/>
      <c r="F125" s="113"/>
      <c r="G125" s="113"/>
      <c r="H125" s="93"/>
    </row>
    <row r="126" spans="5:8" ht="12.75">
      <c r="E126" s="113"/>
      <c r="F126" s="113"/>
      <c r="G126" s="113"/>
      <c r="H126" s="93"/>
    </row>
    <row r="127" spans="5:8" ht="12.75">
      <c r="E127" s="113"/>
      <c r="F127" s="113"/>
      <c r="G127" s="113"/>
      <c r="H127" s="93"/>
    </row>
    <row r="128" spans="5:8" ht="12.75">
      <c r="E128" s="113"/>
      <c r="F128" s="113"/>
      <c r="G128" s="113"/>
      <c r="H128" s="93"/>
    </row>
    <row r="129" spans="5:8" ht="12.75">
      <c r="E129" s="113"/>
      <c r="F129" s="113"/>
      <c r="G129" s="113"/>
      <c r="H129" s="93"/>
    </row>
    <row r="130" spans="5:8" ht="12.75">
      <c r="E130" s="113"/>
      <c r="F130" s="113"/>
      <c r="G130" s="113"/>
      <c r="H130" s="93"/>
    </row>
    <row r="131" spans="5:8" ht="12.75">
      <c r="E131" s="113"/>
      <c r="F131" s="113"/>
      <c r="G131" s="113"/>
      <c r="H131" s="93"/>
    </row>
    <row r="132" spans="5:8" ht="12.75">
      <c r="E132" s="113"/>
      <c r="F132" s="113"/>
      <c r="G132" s="113"/>
      <c r="H132" s="93"/>
    </row>
    <row r="133" spans="5:8" ht="12.75">
      <c r="E133" s="113"/>
      <c r="F133" s="113"/>
      <c r="G133" s="113"/>
      <c r="H133" s="93"/>
    </row>
    <row r="134" spans="5:8" ht="12.75">
      <c r="E134" s="113"/>
      <c r="F134" s="113"/>
      <c r="G134" s="113"/>
      <c r="H134" s="93"/>
    </row>
    <row r="135" spans="5:8" ht="12.75">
      <c r="E135" s="113"/>
      <c r="F135" s="113"/>
      <c r="G135" s="113"/>
      <c r="H135" s="93"/>
    </row>
    <row r="136" spans="5:8" ht="12.75">
      <c r="E136" s="113"/>
      <c r="F136" s="113"/>
      <c r="G136" s="113"/>
      <c r="H136" s="93"/>
    </row>
    <row r="137" spans="5:8" ht="12.75">
      <c r="E137" s="113"/>
      <c r="F137" s="113"/>
      <c r="G137" s="113"/>
      <c r="H137" s="93"/>
    </row>
    <row r="138" spans="5:8" ht="12.75">
      <c r="E138" s="113"/>
      <c r="F138" s="113"/>
      <c r="G138" s="113"/>
      <c r="H138" s="93"/>
    </row>
    <row r="139" spans="5:8" ht="12.75">
      <c r="E139" s="113"/>
      <c r="F139" s="113"/>
      <c r="G139" s="113"/>
      <c r="H139" s="93"/>
    </row>
    <row r="140" spans="5:8" ht="12.75">
      <c r="E140" s="113"/>
      <c r="F140" s="113"/>
      <c r="G140" s="113"/>
      <c r="H140" s="93"/>
    </row>
    <row r="141" spans="5:8" ht="12.75">
      <c r="E141" s="113"/>
      <c r="F141" s="113"/>
      <c r="G141" s="113"/>
      <c r="H141" s="93"/>
    </row>
    <row r="142" spans="5:8" ht="12.75">
      <c r="E142" s="113"/>
      <c r="F142" s="113"/>
      <c r="G142" s="113"/>
      <c r="H142" s="93"/>
    </row>
    <row r="143" spans="5:8" ht="12.75">
      <c r="E143" s="113"/>
      <c r="F143" s="113"/>
      <c r="G143" s="113"/>
      <c r="H143" s="93"/>
    </row>
    <row r="144" spans="5:8" ht="12.75">
      <c r="E144" s="113"/>
      <c r="F144" s="113"/>
      <c r="G144" s="113"/>
      <c r="H144" s="93"/>
    </row>
    <row r="145" spans="5:8" ht="12.75">
      <c r="E145" s="113"/>
      <c r="F145" s="113"/>
      <c r="G145" s="113"/>
      <c r="H145" s="93"/>
    </row>
    <row r="146" spans="5:8" ht="12.75">
      <c r="E146" s="113"/>
      <c r="F146" s="113"/>
      <c r="G146" s="113"/>
      <c r="H146" s="93"/>
    </row>
    <row r="147" spans="5:8" ht="12.75">
      <c r="E147" s="113"/>
      <c r="F147" s="113"/>
      <c r="G147" s="113"/>
      <c r="H147" s="93"/>
    </row>
    <row r="148" spans="5:8" ht="12.75">
      <c r="E148" s="113"/>
      <c r="F148" s="113"/>
      <c r="G148" s="113"/>
      <c r="H148" s="93"/>
    </row>
    <row r="149" spans="5:8" ht="12.75">
      <c r="E149" s="113"/>
      <c r="F149" s="113"/>
      <c r="G149" s="113"/>
      <c r="H149" s="93"/>
    </row>
    <row r="150" spans="5:8" ht="12.75">
      <c r="E150" s="113"/>
      <c r="F150" s="113"/>
      <c r="G150" s="113"/>
      <c r="H150" s="93"/>
    </row>
    <row r="151" spans="5:8" ht="12.75">
      <c r="E151" s="113"/>
      <c r="F151" s="113"/>
      <c r="G151" s="113"/>
      <c r="H151" s="93"/>
    </row>
    <row r="152" spans="5:8" ht="12.75">
      <c r="E152" s="113"/>
      <c r="F152" s="113"/>
      <c r="G152" s="113"/>
      <c r="H152" s="93"/>
    </row>
    <row r="153" spans="5:8" ht="12.75">
      <c r="E153" s="113"/>
      <c r="F153" s="113"/>
      <c r="G153" s="113"/>
      <c r="H153" s="93"/>
    </row>
    <row r="154" spans="5:8" ht="12.75">
      <c r="E154" s="113"/>
      <c r="F154" s="113"/>
      <c r="G154" s="113"/>
      <c r="H154" s="93"/>
    </row>
    <row r="155" spans="5:8" ht="12.75">
      <c r="E155" s="113"/>
      <c r="F155" s="113"/>
      <c r="G155" s="113"/>
      <c r="H155" s="93"/>
    </row>
    <row r="156" spans="5:8" ht="12.75">
      <c r="E156" s="113"/>
      <c r="F156" s="113"/>
      <c r="G156" s="113"/>
      <c r="H156" s="93"/>
    </row>
    <row r="157" spans="5:8" ht="12.75">
      <c r="E157" s="113"/>
      <c r="F157" s="113"/>
      <c r="G157" s="113"/>
      <c r="H157" s="93"/>
    </row>
    <row r="158" spans="5:8" ht="12.75">
      <c r="E158" s="113"/>
      <c r="F158" s="113"/>
      <c r="G158" s="113"/>
      <c r="H158" s="93"/>
    </row>
    <row r="159" spans="5:8" ht="12.75">
      <c r="E159" s="113"/>
      <c r="F159" s="113"/>
      <c r="G159" s="113"/>
      <c r="H159" s="93"/>
    </row>
    <row r="160" spans="5:8" ht="12.75">
      <c r="E160" s="113"/>
      <c r="F160" s="113"/>
      <c r="G160" s="113"/>
      <c r="H160" s="93"/>
    </row>
    <row r="161" spans="5:8" ht="12.75">
      <c r="E161" s="113"/>
      <c r="F161" s="113"/>
      <c r="G161" s="113"/>
      <c r="H161" s="93"/>
    </row>
    <row r="162" spans="5:8" ht="12.75">
      <c r="E162" s="113"/>
      <c r="F162" s="113"/>
      <c r="G162" s="113"/>
      <c r="H162" s="93"/>
    </row>
    <row r="163" spans="5:8" ht="12.75">
      <c r="E163" s="113"/>
      <c r="F163" s="113"/>
      <c r="G163" s="113"/>
      <c r="H163" s="93"/>
    </row>
    <row r="164" spans="5:8" ht="12.75">
      <c r="E164" s="113"/>
      <c r="F164" s="113"/>
      <c r="G164" s="113"/>
      <c r="H164" s="93"/>
    </row>
    <row r="165" spans="5:8" ht="12.75">
      <c r="E165" s="113"/>
      <c r="F165" s="113"/>
      <c r="G165" s="113"/>
      <c r="H165" s="93"/>
    </row>
    <row r="166" spans="5:8" ht="12.75">
      <c r="E166" s="113"/>
      <c r="F166" s="113"/>
      <c r="G166" s="113"/>
      <c r="H166" s="93"/>
    </row>
    <row r="167" spans="5:8" ht="12.75">
      <c r="E167" s="113"/>
      <c r="F167" s="113"/>
      <c r="G167" s="113"/>
      <c r="H167" s="93"/>
    </row>
    <row r="168" spans="5:8" ht="12.75">
      <c r="E168" s="113"/>
      <c r="F168" s="113"/>
      <c r="G168" s="113"/>
      <c r="H168" s="93"/>
    </row>
    <row r="169" spans="5:8" ht="12.75">
      <c r="E169" s="113"/>
      <c r="F169" s="113"/>
      <c r="G169" s="113"/>
      <c r="H169" s="93"/>
    </row>
    <row r="170" spans="5:8" ht="12.75">
      <c r="E170" s="113"/>
      <c r="F170" s="113"/>
      <c r="G170" s="113"/>
      <c r="H170" s="93"/>
    </row>
    <row r="171" spans="5:8" ht="12.75">
      <c r="E171" s="113"/>
      <c r="F171" s="113"/>
      <c r="G171" s="113"/>
      <c r="H171" s="93"/>
    </row>
    <row r="172" spans="5:8" ht="12.75">
      <c r="E172" s="113"/>
      <c r="F172" s="113"/>
      <c r="G172" s="113"/>
      <c r="H172" s="93"/>
    </row>
    <row r="173" spans="5:8" ht="12.75">
      <c r="E173" s="113"/>
      <c r="F173" s="113"/>
      <c r="G173" s="113"/>
      <c r="H173" s="93"/>
    </row>
    <row r="174" spans="5:8" ht="12.75">
      <c r="E174" s="113"/>
      <c r="F174" s="113"/>
      <c r="G174" s="113"/>
      <c r="H174" s="93"/>
    </row>
    <row r="175" spans="5:8" ht="12.75">
      <c r="E175" s="113"/>
      <c r="F175" s="113"/>
      <c r="G175" s="113"/>
      <c r="H175" s="93"/>
    </row>
    <row r="176" spans="5:8" ht="12.75">
      <c r="E176" s="113"/>
      <c r="F176" s="113"/>
      <c r="G176" s="113"/>
      <c r="H176" s="93"/>
    </row>
    <row r="177" spans="5:8" ht="12.75">
      <c r="E177" s="113"/>
      <c r="F177" s="113"/>
      <c r="G177" s="113"/>
      <c r="H177" s="93"/>
    </row>
    <row r="178" spans="5:8" ht="12.75">
      <c r="E178" s="113"/>
      <c r="F178" s="113"/>
      <c r="G178" s="113"/>
      <c r="H178" s="93"/>
    </row>
    <row r="179" spans="5:8" ht="12.75">
      <c r="E179" s="113"/>
      <c r="F179" s="113"/>
      <c r="G179" s="113"/>
      <c r="H179" s="93"/>
    </row>
    <row r="180" spans="5:8" ht="12.75">
      <c r="E180" s="113"/>
      <c r="F180" s="113"/>
      <c r="G180" s="113"/>
      <c r="H180" s="93"/>
    </row>
    <row r="181" spans="5:8" ht="12.75">
      <c r="E181" s="113"/>
      <c r="F181" s="113"/>
      <c r="G181" s="113"/>
      <c r="H181" s="93"/>
    </row>
    <row r="182" spans="5:8" ht="12.75">
      <c r="E182" s="113"/>
      <c r="F182" s="113"/>
      <c r="G182" s="113"/>
      <c r="H182" s="93"/>
    </row>
    <row r="183" spans="5:8" ht="12.75">
      <c r="E183" s="113"/>
      <c r="F183" s="113"/>
      <c r="G183" s="113"/>
      <c r="H183" s="93"/>
    </row>
    <row r="184" spans="5:8" ht="12.75">
      <c r="E184" s="113"/>
      <c r="F184" s="113"/>
      <c r="G184" s="113"/>
      <c r="H184" s="93"/>
    </row>
    <row r="185" spans="5:8" ht="12.75">
      <c r="E185" s="113"/>
      <c r="F185" s="113"/>
      <c r="G185" s="113"/>
      <c r="H185" s="93"/>
    </row>
    <row r="186" spans="5:8" ht="12.75">
      <c r="E186" s="113"/>
      <c r="F186" s="113"/>
      <c r="G186" s="113"/>
      <c r="H186" s="93"/>
    </row>
    <row r="187" spans="5:8" ht="12.75">
      <c r="E187" s="113"/>
      <c r="F187" s="113"/>
      <c r="G187" s="113"/>
      <c r="H187" s="93"/>
    </row>
    <row r="188" spans="5:8" ht="12.75">
      <c r="E188" s="113"/>
      <c r="F188" s="113"/>
      <c r="G188" s="113"/>
      <c r="H188" s="93"/>
    </row>
    <row r="189" spans="5:8" ht="12.75">
      <c r="E189" s="113"/>
      <c r="F189" s="113"/>
      <c r="G189" s="113"/>
      <c r="H189" s="93"/>
    </row>
    <row r="190" spans="5:8" ht="12.75">
      <c r="E190" s="113"/>
      <c r="F190" s="113"/>
      <c r="G190" s="113"/>
      <c r="H190" s="93"/>
    </row>
    <row r="191" spans="5:8" ht="12.75">
      <c r="E191" s="113"/>
      <c r="F191" s="113"/>
      <c r="G191" s="113"/>
      <c r="H191" s="93"/>
    </row>
    <row r="192" spans="5:8" ht="12.75">
      <c r="E192" s="113"/>
      <c r="F192" s="113"/>
      <c r="G192" s="113"/>
      <c r="H192" s="93"/>
    </row>
    <row r="193" spans="5:8" ht="12.75">
      <c r="E193" s="113"/>
      <c r="F193" s="113"/>
      <c r="G193" s="113"/>
      <c r="H193" s="93"/>
    </row>
    <row r="194" spans="5:8" ht="12.75">
      <c r="E194" s="113"/>
      <c r="F194" s="113"/>
      <c r="G194" s="113"/>
      <c r="H194" s="93"/>
    </row>
    <row r="195" spans="5:8" ht="12.75">
      <c r="E195" s="113"/>
      <c r="F195" s="113"/>
      <c r="G195" s="113"/>
      <c r="H195" s="93"/>
    </row>
    <row r="196" spans="5:8" ht="12.75">
      <c r="E196" s="113"/>
      <c r="F196" s="113"/>
      <c r="G196" s="113"/>
      <c r="H196" s="93"/>
    </row>
    <row r="197" spans="5:8" ht="12.75">
      <c r="E197" s="113"/>
      <c r="F197" s="113"/>
      <c r="G197" s="113"/>
      <c r="H197" s="93"/>
    </row>
    <row r="198" spans="5:8" ht="12.75">
      <c r="E198" s="113"/>
      <c r="F198" s="113"/>
      <c r="G198" s="113"/>
      <c r="H198" s="93"/>
    </row>
    <row r="199" spans="5:8" ht="12.75">
      <c r="E199" s="113"/>
      <c r="F199" s="113"/>
      <c r="G199" s="113"/>
      <c r="H199" s="93"/>
    </row>
    <row r="200" spans="5:8" ht="12.75">
      <c r="E200" s="113"/>
      <c r="F200" s="113"/>
      <c r="G200" s="113"/>
      <c r="H200" s="93"/>
    </row>
    <row r="201" spans="5:8" ht="12.75">
      <c r="E201" s="113"/>
      <c r="F201" s="113"/>
      <c r="G201" s="113"/>
      <c r="H201" s="93"/>
    </row>
    <row r="202" spans="5:8" ht="12.75">
      <c r="E202" s="113"/>
      <c r="F202" s="113"/>
      <c r="G202" s="113"/>
      <c r="H202" s="93"/>
    </row>
    <row r="203" spans="5:8" ht="12.75">
      <c r="E203" s="113"/>
      <c r="F203" s="113"/>
      <c r="G203" s="113"/>
      <c r="H203" s="93"/>
    </row>
    <row r="204" spans="5:8" ht="12.75">
      <c r="E204" s="113"/>
      <c r="F204" s="113"/>
      <c r="G204" s="113"/>
      <c r="H204" s="93"/>
    </row>
    <row r="205" spans="5:8" ht="12.75">
      <c r="E205" s="113"/>
      <c r="F205" s="113"/>
      <c r="G205" s="113"/>
      <c r="H205" s="93"/>
    </row>
    <row r="206" spans="5:8" ht="12.75">
      <c r="E206" s="113"/>
      <c r="F206" s="113"/>
      <c r="G206" s="113"/>
      <c r="H206" s="93"/>
    </row>
    <row r="207" spans="5:8" ht="12.75">
      <c r="E207" s="113"/>
      <c r="F207" s="113"/>
      <c r="G207" s="113"/>
      <c r="H207" s="93"/>
    </row>
    <row r="208" spans="5:8" ht="12.75">
      <c r="E208" s="113"/>
      <c r="F208" s="113"/>
      <c r="G208" s="113"/>
      <c r="H208" s="93"/>
    </row>
    <row r="209" spans="5:8" ht="12.75">
      <c r="E209" s="113"/>
      <c r="F209" s="113"/>
      <c r="G209" s="113"/>
      <c r="H209" s="93"/>
    </row>
    <row r="210" spans="5:8" ht="12.75">
      <c r="E210" s="113"/>
      <c r="F210" s="113"/>
      <c r="G210" s="113"/>
      <c r="H210" s="93"/>
    </row>
    <row r="211" spans="5:8" ht="12.75">
      <c r="E211" s="113"/>
      <c r="F211" s="113"/>
      <c r="G211" s="113"/>
      <c r="H211" s="93"/>
    </row>
    <row r="212" spans="5:8" ht="12.75">
      <c r="E212" s="113"/>
      <c r="F212" s="113"/>
      <c r="G212" s="113"/>
      <c r="H212" s="93"/>
    </row>
    <row r="213" spans="5:8" ht="12.75">
      <c r="E213" s="113"/>
      <c r="F213" s="113"/>
      <c r="G213" s="113"/>
      <c r="H213" s="93"/>
    </row>
    <row r="214" spans="5:8" ht="12.75">
      <c r="E214" s="113"/>
      <c r="F214" s="113"/>
      <c r="G214" s="113"/>
      <c r="H214" s="93"/>
    </row>
    <row r="215" spans="5:8" ht="12.75">
      <c r="E215" s="113"/>
      <c r="F215" s="113"/>
      <c r="G215" s="113"/>
      <c r="H215" s="93"/>
    </row>
    <row r="216" spans="5:8" ht="12.75">
      <c r="E216" s="113"/>
      <c r="F216" s="113"/>
      <c r="G216" s="113"/>
      <c r="H216" s="93"/>
    </row>
    <row r="217" spans="5:8" ht="12.75">
      <c r="E217" s="113"/>
      <c r="F217" s="113"/>
      <c r="G217" s="113"/>
      <c r="H217" s="93"/>
    </row>
    <row r="218" spans="5:8" ht="12.75">
      <c r="E218" s="113"/>
      <c r="F218" s="113"/>
      <c r="G218" s="113"/>
      <c r="H218" s="93"/>
    </row>
    <row r="219" spans="5:8" ht="12.75">
      <c r="E219" s="113"/>
      <c r="F219" s="113"/>
      <c r="G219" s="113"/>
      <c r="H219" s="93"/>
    </row>
    <row r="220" spans="5:8" ht="12.75">
      <c r="E220" s="113"/>
      <c r="F220" s="113"/>
      <c r="G220" s="113"/>
      <c r="H220" s="93"/>
    </row>
    <row r="221" spans="5:8" ht="12.75">
      <c r="E221" s="113"/>
      <c r="F221" s="113"/>
      <c r="G221" s="113"/>
      <c r="H221" s="93"/>
    </row>
    <row r="222" spans="5:8" ht="12.75">
      <c r="E222" s="113"/>
      <c r="F222" s="113"/>
      <c r="G222" s="113"/>
      <c r="H222" s="93"/>
    </row>
    <row r="223" spans="5:8" ht="12.75">
      <c r="E223" s="113"/>
      <c r="F223" s="113"/>
      <c r="G223" s="113"/>
      <c r="H223" s="93"/>
    </row>
    <row r="224" spans="5:8" ht="12.75">
      <c r="E224" s="113"/>
      <c r="F224" s="113"/>
      <c r="G224" s="113"/>
      <c r="H224" s="93"/>
    </row>
    <row r="225" spans="5:8" ht="12.75">
      <c r="E225" s="113"/>
      <c r="F225" s="113"/>
      <c r="G225" s="113"/>
      <c r="H225" s="93"/>
    </row>
    <row r="226" spans="5:8" ht="12.75">
      <c r="E226" s="113"/>
      <c r="F226" s="113"/>
      <c r="G226" s="113"/>
      <c r="H226" s="93"/>
    </row>
    <row r="227" spans="5:8" ht="12.75">
      <c r="E227" s="113"/>
      <c r="F227" s="113"/>
      <c r="G227" s="113"/>
      <c r="H227" s="93"/>
    </row>
    <row r="228" spans="5:8" ht="12.75">
      <c r="E228" s="113"/>
      <c r="F228" s="113"/>
      <c r="G228" s="113"/>
      <c r="H228" s="93"/>
    </row>
    <row r="229" spans="5:8" ht="12.75">
      <c r="E229" s="113"/>
      <c r="F229" s="113"/>
      <c r="G229" s="113"/>
      <c r="H229" s="93"/>
    </row>
    <row r="230" spans="5:8" ht="12.75">
      <c r="E230" s="113"/>
      <c r="F230" s="113"/>
      <c r="G230" s="113"/>
      <c r="H230" s="93"/>
    </row>
    <row r="231" spans="5:8" ht="12.75">
      <c r="E231" s="113"/>
      <c r="F231" s="113"/>
      <c r="G231" s="113"/>
      <c r="H231" s="93"/>
    </row>
    <row r="232" spans="5:8" ht="12.75">
      <c r="E232" s="113"/>
      <c r="F232" s="113"/>
      <c r="G232" s="113"/>
      <c r="H232" s="93"/>
    </row>
    <row r="233" spans="5:8" ht="12.75">
      <c r="E233" s="113"/>
      <c r="F233" s="113"/>
      <c r="G233" s="113"/>
      <c r="H233" s="93"/>
    </row>
    <row r="234" spans="5:8" ht="12.75">
      <c r="E234" s="113"/>
      <c r="F234" s="113"/>
      <c r="G234" s="113"/>
      <c r="H234" s="93"/>
    </row>
    <row r="235" spans="5:8" ht="12.75">
      <c r="E235" s="113"/>
      <c r="F235" s="113"/>
      <c r="G235" s="113"/>
      <c r="H235" s="93"/>
    </row>
    <row r="236" spans="5:8" ht="12.75">
      <c r="E236" s="113"/>
      <c r="F236" s="113"/>
      <c r="G236" s="113"/>
      <c r="H236" s="93"/>
    </row>
    <row r="237" spans="5:8" ht="12.75">
      <c r="E237" s="113"/>
      <c r="F237" s="113"/>
      <c r="G237" s="113"/>
      <c r="H237" s="93"/>
    </row>
    <row r="238" spans="5:8" ht="12.75">
      <c r="E238" s="113"/>
      <c r="F238" s="113"/>
      <c r="G238" s="113"/>
      <c r="H238" s="93"/>
    </row>
    <row r="239" spans="5:8" ht="12.75">
      <c r="E239" s="113"/>
      <c r="F239" s="113"/>
      <c r="G239" s="113"/>
      <c r="H239" s="93"/>
    </row>
    <row r="240" spans="5:8" ht="12.75">
      <c r="E240" s="113"/>
      <c r="F240" s="113"/>
      <c r="G240" s="113"/>
      <c r="H240" s="93"/>
    </row>
    <row r="241" spans="5:8" ht="12.75">
      <c r="E241" s="113"/>
      <c r="F241" s="113"/>
      <c r="G241" s="113"/>
      <c r="H241" s="93"/>
    </row>
    <row r="242" spans="5:8" ht="12.75">
      <c r="E242" s="113"/>
      <c r="F242" s="113"/>
      <c r="G242" s="113"/>
      <c r="H242" s="93"/>
    </row>
    <row r="243" spans="5:8" ht="12.75">
      <c r="E243" s="113"/>
      <c r="F243" s="113"/>
      <c r="G243" s="113"/>
      <c r="H243" s="93"/>
    </row>
    <row r="244" spans="5:8" ht="12.75">
      <c r="E244" s="113"/>
      <c r="F244" s="113"/>
      <c r="G244" s="113"/>
      <c r="H244" s="93"/>
    </row>
    <row r="245" spans="5:8" ht="12.75">
      <c r="E245" s="113"/>
      <c r="F245" s="113"/>
      <c r="G245" s="113"/>
      <c r="H245" s="93"/>
    </row>
    <row r="246" spans="5:8" ht="12.75">
      <c r="E246" s="113"/>
      <c r="F246" s="113"/>
      <c r="G246" s="113"/>
      <c r="H246" s="93"/>
    </row>
    <row r="247" spans="5:8" ht="12.75">
      <c r="E247" s="113"/>
      <c r="F247" s="113"/>
      <c r="G247" s="113"/>
      <c r="H247" s="93"/>
    </row>
    <row r="248" spans="5:8" ht="12.75">
      <c r="E248" s="113"/>
      <c r="F248" s="113"/>
      <c r="G248" s="113"/>
      <c r="H248" s="93"/>
    </row>
    <row r="249" spans="5:8" ht="12.75">
      <c r="E249" s="113"/>
      <c r="F249" s="113"/>
      <c r="G249" s="113"/>
      <c r="H249" s="93"/>
    </row>
    <row r="250" spans="5:8" ht="12.75">
      <c r="E250" s="113"/>
      <c r="F250" s="113"/>
      <c r="G250" s="113"/>
      <c r="H250" s="93"/>
    </row>
    <row r="251" spans="5:8" ht="12.75">
      <c r="E251" s="113"/>
      <c r="F251" s="113"/>
      <c r="G251" s="113"/>
      <c r="H251" s="93"/>
    </row>
    <row r="252" spans="5:8" ht="12.75">
      <c r="E252" s="113"/>
      <c r="F252" s="113"/>
      <c r="G252" s="113"/>
      <c r="H252" s="93"/>
    </row>
    <row r="253" spans="5:8" ht="12.75">
      <c r="E253" s="113"/>
      <c r="F253" s="113"/>
      <c r="G253" s="113"/>
      <c r="H253" s="93"/>
    </row>
    <row r="254" spans="5:8" ht="12.75">
      <c r="E254" s="113"/>
      <c r="F254" s="113"/>
      <c r="G254" s="113"/>
      <c r="H254" s="93"/>
    </row>
    <row r="255" spans="5:8" ht="12.75">
      <c r="E255" s="113"/>
      <c r="F255" s="113"/>
      <c r="G255" s="113"/>
      <c r="H255" s="93"/>
    </row>
    <row r="256" spans="5:8" ht="12.75">
      <c r="E256" s="113"/>
      <c r="F256" s="113"/>
      <c r="G256" s="113"/>
      <c r="H256" s="93"/>
    </row>
    <row r="257" spans="5:8" ht="12.75">
      <c r="E257" s="113"/>
      <c r="F257" s="113"/>
      <c r="G257" s="113"/>
      <c r="H257" s="93"/>
    </row>
    <row r="258" spans="5:8" ht="12.75">
      <c r="E258" s="113"/>
      <c r="F258" s="113"/>
      <c r="G258" s="113"/>
      <c r="H258" s="93"/>
    </row>
    <row r="259" spans="5:8" ht="12.75">
      <c r="E259" s="113"/>
      <c r="F259" s="113"/>
      <c r="G259" s="113"/>
      <c r="H259" s="93"/>
    </row>
    <row r="260" spans="5:8" ht="12.75">
      <c r="E260" s="113"/>
      <c r="F260" s="113"/>
      <c r="G260" s="113"/>
      <c r="H260" s="93"/>
    </row>
    <row r="261" spans="5:8" ht="12.75">
      <c r="E261" s="113"/>
      <c r="F261" s="113"/>
      <c r="G261" s="113"/>
      <c r="H261" s="93"/>
    </row>
    <row r="262" spans="5:8" ht="12.75">
      <c r="E262" s="113"/>
      <c r="F262" s="113"/>
      <c r="G262" s="113"/>
      <c r="H262" s="93"/>
    </row>
    <row r="263" spans="5:8" ht="12.75">
      <c r="E263" s="113"/>
      <c r="F263" s="113"/>
      <c r="G263" s="113"/>
      <c r="H263" s="93"/>
    </row>
    <row r="264" spans="5:8" ht="12.75">
      <c r="E264" s="113"/>
      <c r="F264" s="113"/>
      <c r="G264" s="113"/>
      <c r="H264" s="93"/>
    </row>
    <row r="265" spans="5:8" ht="12.75">
      <c r="E265" s="113"/>
      <c r="F265" s="113"/>
      <c r="G265" s="113"/>
      <c r="H265" s="93"/>
    </row>
    <row r="266" spans="5:8" ht="12.75">
      <c r="E266" s="113"/>
      <c r="F266" s="113"/>
      <c r="G266" s="113"/>
      <c r="H266" s="93"/>
    </row>
    <row r="267" spans="5:8" ht="12.75">
      <c r="E267" s="113"/>
      <c r="F267" s="113"/>
      <c r="G267" s="113"/>
      <c r="H267" s="93"/>
    </row>
    <row r="268" spans="5:8" ht="12.75">
      <c r="E268" s="113"/>
      <c r="F268" s="113"/>
      <c r="G268" s="113"/>
      <c r="H268" s="93"/>
    </row>
    <row r="269" spans="5:8" ht="12.75">
      <c r="E269" s="113"/>
      <c r="F269" s="113"/>
      <c r="G269" s="113"/>
      <c r="H269" s="93"/>
    </row>
    <row r="270" spans="5:8" ht="12.75">
      <c r="E270" s="113"/>
      <c r="F270" s="113"/>
      <c r="G270" s="113"/>
      <c r="H270" s="93"/>
    </row>
    <row r="271" spans="5:8" ht="12.75">
      <c r="E271" s="113"/>
      <c r="F271" s="113"/>
      <c r="G271" s="113"/>
      <c r="H271" s="93"/>
    </row>
    <row r="272" spans="5:8" ht="12.75">
      <c r="E272" s="113"/>
      <c r="F272" s="113"/>
      <c r="G272" s="113"/>
      <c r="H272" s="93"/>
    </row>
    <row r="273" spans="5:8" ht="12.75">
      <c r="E273" s="113"/>
      <c r="F273" s="113"/>
      <c r="G273" s="113"/>
      <c r="H273" s="93"/>
    </row>
    <row r="274" spans="5:8" ht="12.75">
      <c r="E274" s="113"/>
      <c r="F274" s="113"/>
      <c r="G274" s="113"/>
      <c r="H274" s="93"/>
    </row>
    <row r="275" spans="5:8" ht="12.75">
      <c r="E275" s="113"/>
      <c r="F275" s="113"/>
      <c r="G275" s="113"/>
      <c r="H275" s="93"/>
    </row>
    <row r="276" spans="5:8" ht="12.75">
      <c r="E276" s="113"/>
      <c r="F276" s="113"/>
      <c r="G276" s="113"/>
      <c r="H276" s="93"/>
    </row>
    <row r="277" spans="5:8" ht="12.75">
      <c r="E277" s="113"/>
      <c r="F277" s="113"/>
      <c r="G277" s="113"/>
      <c r="H277" s="93"/>
    </row>
    <row r="278" spans="5:8" ht="12.75">
      <c r="E278" s="113"/>
      <c r="F278" s="113"/>
      <c r="G278" s="113"/>
      <c r="H278" s="93"/>
    </row>
    <row r="279" spans="5:8" ht="12.75">
      <c r="E279" s="113"/>
      <c r="F279" s="113"/>
      <c r="G279" s="113"/>
      <c r="H279" s="93"/>
    </row>
    <row r="280" spans="5:8" ht="12.75">
      <c r="E280" s="113"/>
      <c r="F280" s="113"/>
      <c r="G280" s="113"/>
      <c r="H280" s="93"/>
    </row>
    <row r="281" spans="5:8" ht="12.75">
      <c r="E281" s="113"/>
      <c r="F281" s="113"/>
      <c r="G281" s="113"/>
      <c r="H281" s="93"/>
    </row>
    <row r="282" spans="5:8" ht="12.75">
      <c r="E282" s="113"/>
      <c r="F282" s="113"/>
      <c r="G282" s="113"/>
      <c r="H282" s="93"/>
    </row>
    <row r="283" spans="5:8" ht="12.75">
      <c r="E283" s="113"/>
      <c r="F283" s="113"/>
      <c r="G283" s="113"/>
      <c r="H283" s="93"/>
    </row>
    <row r="284" spans="5:8" ht="12.75">
      <c r="E284" s="113"/>
      <c r="F284" s="113"/>
      <c r="G284" s="113"/>
      <c r="H284" s="93"/>
    </row>
    <row r="285" spans="5:8" ht="12.75">
      <c r="E285" s="113"/>
      <c r="F285" s="113"/>
      <c r="G285" s="113"/>
      <c r="H285" s="93"/>
    </row>
    <row r="286" spans="5:8" ht="12.75">
      <c r="E286" s="113"/>
      <c r="F286" s="113"/>
      <c r="G286" s="113"/>
      <c r="H286" s="93"/>
    </row>
    <row r="287" spans="5:8" ht="12.75">
      <c r="E287" s="113"/>
      <c r="F287" s="113"/>
      <c r="G287" s="113"/>
      <c r="H287" s="93"/>
    </row>
    <row r="288" spans="5:8" ht="12.75">
      <c r="E288" s="113"/>
      <c r="F288" s="113"/>
      <c r="G288" s="113"/>
      <c r="H288" s="93"/>
    </row>
    <row r="289" spans="5:8" ht="12.75">
      <c r="E289" s="113"/>
      <c r="F289" s="113"/>
      <c r="G289" s="113"/>
      <c r="H289" s="93"/>
    </row>
    <row r="290" spans="5:8" ht="12.75">
      <c r="E290" s="113"/>
      <c r="F290" s="113"/>
      <c r="G290" s="113"/>
      <c r="H290" s="93"/>
    </row>
    <row r="291" spans="5:8" ht="12.75">
      <c r="E291" s="113"/>
      <c r="F291" s="113"/>
      <c r="G291" s="113"/>
      <c r="H291" s="93"/>
    </row>
    <row r="292" spans="5:8" ht="12.75">
      <c r="E292" s="113"/>
      <c r="F292" s="113"/>
      <c r="G292" s="113"/>
      <c r="H292" s="93"/>
    </row>
    <row r="293" spans="5:8" ht="12.75">
      <c r="E293" s="113"/>
      <c r="F293" s="113"/>
      <c r="G293" s="113"/>
      <c r="H293" s="93"/>
    </row>
    <row r="294" spans="5:8" ht="12.75">
      <c r="E294" s="113"/>
      <c r="F294" s="113"/>
      <c r="G294" s="113"/>
      <c r="H294" s="93"/>
    </row>
    <row r="295" spans="5:8" ht="12.75">
      <c r="E295" s="113"/>
      <c r="F295" s="113"/>
      <c r="G295" s="113"/>
      <c r="H295" s="93"/>
    </row>
    <row r="296" spans="5:8" ht="12.75">
      <c r="E296" s="113"/>
      <c r="F296" s="113"/>
      <c r="G296" s="113"/>
      <c r="H296" s="93"/>
    </row>
    <row r="297" spans="5:8" ht="12.75">
      <c r="E297" s="113"/>
      <c r="F297" s="113"/>
      <c r="G297" s="113"/>
      <c r="H297" s="93"/>
    </row>
    <row r="298" spans="5:8" ht="12.75">
      <c r="E298" s="113"/>
      <c r="F298" s="113"/>
      <c r="G298" s="113"/>
      <c r="H298" s="93"/>
    </row>
    <row r="299" spans="5:8" ht="12.75">
      <c r="E299" s="113"/>
      <c r="F299" s="113"/>
      <c r="G299" s="113"/>
      <c r="H299" s="93"/>
    </row>
    <row r="300" spans="5:8" ht="12.75">
      <c r="E300" s="113"/>
      <c r="F300" s="113"/>
      <c r="G300" s="113"/>
      <c r="H300" s="93"/>
    </row>
    <row r="301" spans="5:8" ht="12.75">
      <c r="E301" s="113"/>
      <c r="F301" s="113"/>
      <c r="G301" s="113"/>
      <c r="H301" s="93"/>
    </row>
    <row r="302" spans="5:8" ht="12.75">
      <c r="E302" s="113"/>
      <c r="F302" s="113"/>
      <c r="G302" s="113"/>
      <c r="H302" s="93"/>
    </row>
    <row r="303" spans="5:8" ht="12.75">
      <c r="E303" s="113"/>
      <c r="F303" s="113"/>
      <c r="G303" s="113"/>
      <c r="H303" s="93"/>
    </row>
    <row r="304" spans="5:8" ht="12.75">
      <c r="E304" s="113"/>
      <c r="F304" s="113"/>
      <c r="G304" s="113"/>
      <c r="H304" s="93"/>
    </row>
    <row r="305" spans="5:8" ht="12.75">
      <c r="E305" s="113"/>
      <c r="F305" s="113"/>
      <c r="G305" s="113"/>
      <c r="H305" s="93"/>
    </row>
    <row r="306" spans="5:8" ht="12.75">
      <c r="E306" s="113"/>
      <c r="F306" s="113"/>
      <c r="G306" s="113"/>
      <c r="H306" s="93"/>
    </row>
    <row r="307" spans="5:8" ht="12.75">
      <c r="E307" s="113"/>
      <c r="F307" s="113"/>
      <c r="G307" s="113"/>
      <c r="H307" s="93"/>
    </row>
    <row r="308" spans="5:8" ht="12.75">
      <c r="E308" s="113"/>
      <c r="F308" s="113"/>
      <c r="G308" s="113"/>
      <c r="H308" s="93"/>
    </row>
    <row r="309" spans="5:8" ht="12.75">
      <c r="E309" s="113"/>
      <c r="F309" s="113"/>
      <c r="G309" s="113"/>
      <c r="H309" s="93"/>
    </row>
    <row r="310" spans="5:8" ht="12.75">
      <c r="E310" s="113"/>
      <c r="F310" s="113"/>
      <c r="G310" s="113"/>
      <c r="H310" s="93"/>
    </row>
    <row r="311" spans="5:8" ht="12.75">
      <c r="E311" s="113"/>
      <c r="F311" s="113"/>
      <c r="G311" s="113"/>
      <c r="H311" s="93"/>
    </row>
    <row r="312" spans="5:8" ht="12.75">
      <c r="E312" s="113"/>
      <c r="F312" s="113"/>
      <c r="G312" s="113"/>
      <c r="H312" s="93"/>
    </row>
    <row r="313" spans="5:8" ht="12.75">
      <c r="E313" s="113"/>
      <c r="F313" s="113"/>
      <c r="G313" s="113"/>
      <c r="H313" s="93"/>
    </row>
    <row r="314" spans="5:8" ht="12.75">
      <c r="E314" s="113"/>
      <c r="F314" s="113"/>
      <c r="G314" s="113"/>
      <c r="H314" s="93"/>
    </row>
    <row r="315" spans="5:8" ht="12.75">
      <c r="E315" s="113"/>
      <c r="F315" s="113"/>
      <c r="G315" s="113"/>
      <c r="H315" s="93"/>
    </row>
    <row r="316" spans="5:8" ht="12.75">
      <c r="E316" s="113"/>
      <c r="F316" s="113"/>
      <c r="G316" s="113"/>
      <c r="H316" s="93"/>
    </row>
    <row r="317" spans="5:8" ht="12.75">
      <c r="E317" s="113"/>
      <c r="F317" s="113"/>
      <c r="G317" s="113"/>
      <c r="H317" s="93"/>
    </row>
    <row r="318" spans="5:8" ht="12.75">
      <c r="E318" s="113"/>
      <c r="F318" s="113"/>
      <c r="G318" s="113"/>
      <c r="H318" s="93"/>
    </row>
    <row r="319" spans="5:8" ht="12.75">
      <c r="E319" s="113"/>
      <c r="F319" s="113"/>
      <c r="G319" s="113"/>
      <c r="H319" s="93"/>
    </row>
    <row r="320" spans="5:8" ht="12.75">
      <c r="E320" s="113"/>
      <c r="F320" s="113"/>
      <c r="G320" s="113"/>
      <c r="H320" s="93"/>
    </row>
    <row r="321" spans="5:8" ht="12.75">
      <c r="E321" s="113"/>
      <c r="F321" s="113"/>
      <c r="G321" s="113"/>
      <c r="H321" s="93"/>
    </row>
    <row r="322" spans="5:8" ht="12.75">
      <c r="E322" s="113"/>
      <c r="F322" s="113"/>
      <c r="G322" s="113"/>
      <c r="H322" s="93"/>
    </row>
    <row r="323" spans="5:8" ht="12.75">
      <c r="E323" s="113"/>
      <c r="F323" s="113"/>
      <c r="G323" s="113"/>
      <c r="H323" s="93"/>
    </row>
    <row r="324" spans="5:8" ht="12.75">
      <c r="E324" s="113"/>
      <c r="F324" s="113"/>
      <c r="G324" s="113"/>
      <c r="H324" s="93"/>
    </row>
    <row r="325" spans="5:8" ht="12.75">
      <c r="E325" s="113"/>
      <c r="F325" s="113"/>
      <c r="G325" s="113"/>
      <c r="H325" s="93"/>
    </row>
    <row r="326" spans="5:8" ht="12.75">
      <c r="E326" s="113"/>
      <c r="F326" s="113"/>
      <c r="G326" s="113"/>
      <c r="H326" s="93"/>
    </row>
    <row r="327" spans="5:8" ht="12.75">
      <c r="E327" s="113"/>
      <c r="F327" s="113"/>
      <c r="G327" s="113"/>
      <c r="H327" s="93"/>
    </row>
    <row r="328" spans="5:8" ht="12.75">
      <c r="E328" s="113"/>
      <c r="F328" s="113"/>
      <c r="G328" s="113"/>
      <c r="H328" s="93"/>
    </row>
    <row r="329" spans="5:8" ht="12.75">
      <c r="E329" s="113"/>
      <c r="F329" s="113"/>
      <c r="G329" s="113"/>
      <c r="H329" s="93"/>
    </row>
    <row r="330" spans="5:8" ht="12.75">
      <c r="E330" s="113"/>
      <c r="F330" s="113"/>
      <c r="G330" s="113"/>
      <c r="H330" s="93"/>
    </row>
    <row r="331" spans="5:8" ht="12.75">
      <c r="E331" s="113"/>
      <c r="F331" s="113"/>
      <c r="G331" s="113"/>
      <c r="H331" s="93"/>
    </row>
    <row r="332" spans="5:8" ht="12.75">
      <c r="E332" s="113"/>
      <c r="F332" s="113"/>
      <c r="G332" s="113"/>
      <c r="H332" s="93"/>
    </row>
    <row r="333" spans="5:8" ht="12.75">
      <c r="E333" s="113"/>
      <c r="F333" s="113"/>
      <c r="G333" s="113"/>
      <c r="H333" s="93"/>
    </row>
    <row r="334" spans="5:8" ht="12.75">
      <c r="E334" s="113"/>
      <c r="F334" s="113"/>
      <c r="G334" s="113"/>
      <c r="H334" s="93"/>
    </row>
    <row r="335" spans="5:8" ht="12.75">
      <c r="E335" s="113"/>
      <c r="F335" s="113"/>
      <c r="G335" s="113"/>
      <c r="H335" s="93"/>
    </row>
    <row r="336" spans="5:8" ht="12.75">
      <c r="E336" s="113"/>
      <c r="F336" s="113"/>
      <c r="G336" s="113"/>
      <c r="H336" s="93"/>
    </row>
    <row r="337" spans="5:8" ht="12.75">
      <c r="E337" s="113"/>
      <c r="F337" s="113"/>
      <c r="G337" s="113"/>
      <c r="H337" s="93"/>
    </row>
    <row r="338" spans="5:8" ht="12.75">
      <c r="E338" s="113"/>
      <c r="F338" s="113"/>
      <c r="G338" s="113"/>
      <c r="H338" s="93"/>
    </row>
    <row r="339" spans="5:8" ht="12.75">
      <c r="E339" s="113"/>
      <c r="F339" s="113"/>
      <c r="G339" s="113"/>
      <c r="H339" s="93"/>
    </row>
    <row r="340" spans="5:8" ht="12.75">
      <c r="E340" s="113"/>
      <c r="F340" s="113"/>
      <c r="G340" s="113"/>
      <c r="H340" s="93"/>
    </row>
    <row r="341" spans="5:8" ht="12.75">
      <c r="E341" s="113"/>
      <c r="F341" s="113"/>
      <c r="G341" s="113"/>
      <c r="H341" s="93"/>
    </row>
    <row r="342" spans="5:8" ht="12.75">
      <c r="E342" s="113"/>
      <c r="F342" s="113"/>
      <c r="G342" s="113"/>
      <c r="H342" s="93"/>
    </row>
    <row r="343" spans="5:8" ht="12.75">
      <c r="E343" s="113"/>
      <c r="F343" s="113"/>
      <c r="G343" s="113"/>
      <c r="H343" s="93"/>
    </row>
    <row r="344" spans="5:8" ht="12.75">
      <c r="E344" s="113"/>
      <c r="F344" s="113"/>
      <c r="G344" s="113"/>
      <c r="H344" s="93"/>
    </row>
    <row r="345" spans="5:8" ht="12.75">
      <c r="E345" s="113"/>
      <c r="F345" s="113"/>
      <c r="G345" s="113"/>
      <c r="H345" s="93"/>
    </row>
    <row r="346" spans="5:8" ht="12.75">
      <c r="E346" s="113"/>
      <c r="F346" s="113"/>
      <c r="G346" s="113"/>
      <c r="H346" s="93"/>
    </row>
    <row r="347" spans="5:8" ht="12.75">
      <c r="E347" s="113"/>
      <c r="F347" s="113"/>
      <c r="G347" s="113"/>
      <c r="H347" s="93"/>
    </row>
    <row r="348" spans="5:8" ht="12.75">
      <c r="E348" s="113"/>
      <c r="F348" s="113"/>
      <c r="G348" s="113"/>
      <c r="H348" s="93"/>
    </row>
    <row r="349" spans="5:8" ht="12.75">
      <c r="E349" s="113"/>
      <c r="F349" s="113"/>
      <c r="G349" s="113"/>
      <c r="H349" s="93"/>
    </row>
    <row r="350" spans="5:8" ht="12.75">
      <c r="E350" s="113"/>
      <c r="F350" s="113"/>
      <c r="G350" s="113"/>
      <c r="H350" s="93"/>
    </row>
    <row r="351" spans="5:8" ht="12.75">
      <c r="E351" s="113"/>
      <c r="F351" s="113"/>
      <c r="G351" s="113"/>
      <c r="H351" s="93"/>
    </row>
    <row r="352" spans="5:8" ht="12.75">
      <c r="E352" s="113"/>
      <c r="F352" s="113"/>
      <c r="G352" s="113"/>
      <c r="H352" s="93"/>
    </row>
    <row r="353" spans="5:8" ht="12.75">
      <c r="E353" s="113"/>
      <c r="F353" s="113"/>
      <c r="G353" s="113"/>
      <c r="H353" s="93"/>
    </row>
    <row r="354" spans="5:8" ht="12.75">
      <c r="E354" s="113"/>
      <c r="F354" s="113"/>
      <c r="G354" s="113"/>
      <c r="H354" s="93"/>
    </row>
    <row r="355" spans="5:8" ht="12.75">
      <c r="E355" s="113"/>
      <c r="F355" s="113"/>
      <c r="G355" s="113"/>
      <c r="H355" s="93"/>
    </row>
    <row r="356" spans="5:8" ht="12.75">
      <c r="E356" s="113"/>
      <c r="F356" s="113"/>
      <c r="G356" s="113"/>
      <c r="H356" s="93"/>
    </row>
    <row r="357" spans="5:8" ht="12.75">
      <c r="E357" s="113"/>
      <c r="F357" s="113"/>
      <c r="G357" s="113"/>
      <c r="H357" s="93"/>
    </row>
    <row r="358" spans="5:8" ht="12.75">
      <c r="E358" s="113"/>
      <c r="F358" s="113"/>
      <c r="G358" s="113"/>
      <c r="H358" s="93"/>
    </row>
    <row r="359" spans="5:8" ht="12.75">
      <c r="E359" s="113"/>
      <c r="F359" s="113"/>
      <c r="G359" s="113"/>
      <c r="H359" s="93"/>
    </row>
    <row r="360" spans="5:8" ht="12.75">
      <c r="E360" s="113"/>
      <c r="F360" s="113"/>
      <c r="G360" s="113"/>
      <c r="H360" s="93"/>
    </row>
    <row r="361" spans="5:8" ht="12.75">
      <c r="E361" s="113"/>
      <c r="F361" s="113"/>
      <c r="G361" s="113"/>
      <c r="H361" s="93"/>
    </row>
    <row r="362" spans="5:8" ht="12.75">
      <c r="E362" s="113"/>
      <c r="F362" s="113"/>
      <c r="G362" s="113"/>
      <c r="H362" s="93"/>
    </row>
    <row r="363" spans="5:8" ht="12.75">
      <c r="E363" s="113"/>
      <c r="F363" s="113"/>
      <c r="G363" s="113"/>
      <c r="H363" s="93"/>
    </row>
    <row r="364" spans="5:8" ht="12.75">
      <c r="E364" s="113"/>
      <c r="F364" s="113"/>
      <c r="G364" s="113"/>
      <c r="H364" s="93"/>
    </row>
    <row r="365" spans="5:8" ht="12.75">
      <c r="E365" s="113"/>
      <c r="F365" s="113"/>
      <c r="G365" s="113"/>
      <c r="H365" s="93"/>
    </row>
    <row r="366" spans="5:8" ht="12.75">
      <c r="E366" s="113"/>
      <c r="F366" s="113"/>
      <c r="G366" s="113"/>
      <c r="H366" s="93"/>
    </row>
    <row r="367" spans="5:8" ht="12.75">
      <c r="E367" s="113"/>
      <c r="F367" s="113"/>
      <c r="G367" s="113"/>
      <c r="H367" s="93"/>
    </row>
    <row r="368" spans="5:8" ht="12.75">
      <c r="E368" s="113"/>
      <c r="F368" s="113"/>
      <c r="G368" s="113"/>
      <c r="H368" s="93"/>
    </row>
    <row r="369" spans="5:8" ht="12.75">
      <c r="E369" s="113"/>
      <c r="F369" s="113"/>
      <c r="G369" s="113"/>
      <c r="H369" s="93"/>
    </row>
    <row r="370" spans="5:8" ht="12.75">
      <c r="E370" s="113"/>
      <c r="F370" s="113"/>
      <c r="G370" s="113"/>
      <c r="H370" s="93"/>
    </row>
    <row r="371" spans="5:8" ht="12.75">
      <c r="E371" s="113"/>
      <c r="F371" s="113"/>
      <c r="G371" s="113"/>
      <c r="H371" s="93"/>
    </row>
    <row r="372" spans="5:8" ht="12.75">
      <c r="E372" s="113"/>
      <c r="F372" s="113"/>
      <c r="G372" s="113"/>
      <c r="H372" s="93"/>
    </row>
    <row r="373" spans="5:8" ht="12.75">
      <c r="E373" s="113"/>
      <c r="F373" s="113"/>
      <c r="G373" s="113"/>
      <c r="H373" s="93"/>
    </row>
    <row r="374" spans="5:8" ht="12.75">
      <c r="E374" s="113"/>
      <c r="F374" s="113"/>
      <c r="G374" s="113"/>
      <c r="H374" s="93"/>
    </row>
    <row r="375" spans="5:8" ht="12.75">
      <c r="E375" s="113"/>
      <c r="F375" s="113"/>
      <c r="G375" s="113"/>
      <c r="H375" s="93"/>
    </row>
    <row r="376" spans="5:8" ht="12.75">
      <c r="E376" s="113"/>
      <c r="F376" s="113"/>
      <c r="G376" s="113"/>
      <c r="H376" s="93"/>
    </row>
    <row r="377" spans="5:8" ht="12.75">
      <c r="E377" s="113"/>
      <c r="F377" s="113"/>
      <c r="G377" s="113"/>
      <c r="H377" s="93"/>
    </row>
    <row r="378" spans="5:8" ht="12.75">
      <c r="E378" s="113"/>
      <c r="F378" s="113"/>
      <c r="G378" s="113"/>
      <c r="H378" s="93"/>
    </row>
    <row r="379" spans="5:8" ht="12.75">
      <c r="E379" s="113"/>
      <c r="F379" s="113"/>
      <c r="G379" s="113"/>
      <c r="H379" s="93"/>
    </row>
    <row r="380" spans="5:8" ht="12.75">
      <c r="E380" s="113"/>
      <c r="F380" s="113"/>
      <c r="G380" s="113"/>
      <c r="H380" s="93"/>
    </row>
    <row r="381" spans="5:8" ht="12.75">
      <c r="E381" s="113"/>
      <c r="F381" s="113"/>
      <c r="G381" s="113"/>
      <c r="H381" s="93"/>
    </row>
    <row r="382" spans="5:8" ht="12.75">
      <c r="E382" s="113"/>
      <c r="F382" s="113"/>
      <c r="G382" s="113"/>
      <c r="H382" s="93"/>
    </row>
    <row r="383" spans="5:8" ht="12.75">
      <c r="E383" s="113"/>
      <c r="F383" s="113"/>
      <c r="G383" s="113"/>
      <c r="H383" s="93"/>
    </row>
    <row r="384" spans="5:8" ht="12.75">
      <c r="E384" s="113"/>
      <c r="F384" s="113"/>
      <c r="G384" s="113"/>
      <c r="H384" s="93"/>
    </row>
    <row r="385" spans="5:8" ht="12.75">
      <c r="E385" s="113"/>
      <c r="F385" s="113"/>
      <c r="G385" s="113"/>
      <c r="H385" s="93"/>
    </row>
    <row r="386" spans="5:8" ht="12.75">
      <c r="E386" s="113"/>
      <c r="F386" s="113"/>
      <c r="G386" s="113"/>
      <c r="H386" s="93"/>
    </row>
    <row r="387" spans="5:8" ht="12.75">
      <c r="E387" s="113"/>
      <c r="F387" s="113"/>
      <c r="G387" s="113"/>
      <c r="H387" s="93"/>
    </row>
    <row r="388" spans="5:8" ht="12.75">
      <c r="E388" s="113"/>
      <c r="F388" s="113"/>
      <c r="G388" s="113"/>
      <c r="H388" s="93"/>
    </row>
    <row r="389" spans="5:8" ht="12.75">
      <c r="E389" s="113"/>
      <c r="F389" s="113"/>
      <c r="G389" s="113"/>
      <c r="H389" s="93"/>
    </row>
    <row r="390" spans="5:8" ht="12.75">
      <c r="E390" s="113"/>
      <c r="F390" s="113"/>
      <c r="G390" s="113"/>
      <c r="H390" s="93"/>
    </row>
    <row r="391" spans="5:8" ht="12.75">
      <c r="E391" s="113"/>
      <c r="F391" s="113"/>
      <c r="G391" s="113"/>
      <c r="H391" s="93"/>
    </row>
    <row r="392" spans="5:8" ht="12.75">
      <c r="E392" s="113"/>
      <c r="F392" s="113"/>
      <c r="G392" s="113"/>
      <c r="H392" s="93"/>
    </row>
    <row r="393" spans="5:8" ht="12.75">
      <c r="E393" s="113"/>
      <c r="F393" s="113"/>
      <c r="G393" s="113"/>
      <c r="H393" s="93"/>
    </row>
    <row r="394" spans="5:8" ht="12.75">
      <c r="E394" s="113"/>
      <c r="F394" s="113"/>
      <c r="G394" s="113"/>
      <c r="H394" s="93"/>
    </row>
    <row r="395" spans="5:8" ht="12.75">
      <c r="E395" s="113"/>
      <c r="F395" s="113"/>
      <c r="G395" s="113"/>
      <c r="H395" s="93"/>
    </row>
    <row r="396" spans="5:8" ht="12.75">
      <c r="E396" s="113"/>
      <c r="F396" s="113"/>
      <c r="G396" s="113"/>
      <c r="H396" s="93"/>
    </row>
    <row r="397" spans="5:8" ht="12.75">
      <c r="E397" s="113"/>
      <c r="F397" s="113"/>
      <c r="G397" s="113"/>
      <c r="H397" s="93"/>
    </row>
    <row r="398" spans="5:8" ht="12.75">
      <c r="E398" s="113"/>
      <c r="F398" s="113"/>
      <c r="G398" s="113"/>
      <c r="H398" s="93"/>
    </row>
    <row r="399" spans="5:8" ht="12.75">
      <c r="E399" s="113"/>
      <c r="F399" s="113"/>
      <c r="G399" s="113"/>
      <c r="H399" s="93"/>
    </row>
    <row r="400" spans="5:8" ht="12.75">
      <c r="E400" s="113"/>
      <c r="F400" s="113"/>
      <c r="G400" s="113"/>
      <c r="H400" s="93"/>
    </row>
    <row r="401" spans="5:8" ht="12.75">
      <c r="E401" s="113"/>
      <c r="F401" s="113"/>
      <c r="G401" s="113"/>
      <c r="H401" s="93"/>
    </row>
    <row r="402" spans="5:8" ht="12.75">
      <c r="E402" s="113"/>
      <c r="F402" s="113"/>
      <c r="G402" s="113"/>
      <c r="H402" s="93"/>
    </row>
    <row r="403" spans="5:8" ht="12.75">
      <c r="E403" s="113"/>
      <c r="F403" s="113"/>
      <c r="G403" s="113"/>
      <c r="H403" s="93"/>
    </row>
    <row r="404" spans="5:8" ht="12.75">
      <c r="E404" s="113"/>
      <c r="F404" s="113"/>
      <c r="G404" s="113"/>
      <c r="H404" s="93"/>
    </row>
    <row r="405" spans="5:8" ht="12.75">
      <c r="E405" s="92"/>
      <c r="F405" s="92"/>
      <c r="G405" s="92"/>
      <c r="H405" s="93"/>
    </row>
    <row r="406" spans="5:8" ht="12.75">
      <c r="E406" s="92"/>
      <c r="F406" s="92"/>
      <c r="G406" s="92"/>
      <c r="H406" s="93"/>
    </row>
    <row r="407" spans="5:8" ht="12.75">
      <c r="E407" s="92"/>
      <c r="F407" s="92"/>
      <c r="G407" s="92"/>
      <c r="H407" s="93"/>
    </row>
    <row r="408" spans="5:8" ht="12.75">
      <c r="E408" s="92"/>
      <c r="F408" s="92"/>
      <c r="G408" s="92"/>
      <c r="H408" s="93"/>
    </row>
    <row r="409" spans="5:8" ht="12.75">
      <c r="E409" s="92"/>
      <c r="F409" s="92"/>
      <c r="G409" s="92"/>
      <c r="H409" s="93"/>
    </row>
    <row r="410" spans="5:8" ht="12.75">
      <c r="E410" s="92"/>
      <c r="F410" s="92"/>
      <c r="G410" s="92"/>
      <c r="H410" s="93"/>
    </row>
    <row r="411" spans="5:8" ht="12.75">
      <c r="E411" s="92"/>
      <c r="F411" s="92"/>
      <c r="G411" s="92"/>
      <c r="H411" s="93"/>
    </row>
    <row r="412" spans="5:8" ht="12.75">
      <c r="E412" s="92"/>
      <c r="F412" s="92"/>
      <c r="G412" s="92"/>
      <c r="H412" s="93"/>
    </row>
    <row r="413" spans="5:8" ht="12.75">
      <c r="E413" s="92"/>
      <c r="F413" s="92"/>
      <c r="G413" s="92"/>
      <c r="H413" s="93"/>
    </row>
    <row r="414" spans="5:8" ht="12.75">
      <c r="E414" s="92"/>
      <c r="F414" s="92"/>
      <c r="G414" s="92"/>
      <c r="H414" s="93"/>
    </row>
    <row r="415" spans="5:8" ht="12.75">
      <c r="E415" s="92"/>
      <c r="F415" s="92"/>
      <c r="G415" s="92"/>
      <c r="H415" s="93"/>
    </row>
    <row r="416" spans="5:8" ht="12.75">
      <c r="E416" s="92"/>
      <c r="F416" s="92"/>
      <c r="G416" s="92"/>
      <c r="H416" s="93"/>
    </row>
    <row r="417" spans="5:8" ht="12.75">
      <c r="E417" s="92"/>
      <c r="F417" s="92"/>
      <c r="G417" s="92"/>
      <c r="H417" s="93"/>
    </row>
    <row r="418" spans="5:8" ht="12.75">
      <c r="E418" s="92"/>
      <c r="F418" s="92"/>
      <c r="G418" s="92"/>
      <c r="H418" s="93"/>
    </row>
    <row r="419" spans="5:8" ht="12.75">
      <c r="E419" s="92"/>
      <c r="F419" s="92"/>
      <c r="G419" s="92"/>
      <c r="H419" s="93"/>
    </row>
    <row r="420" spans="5:8" ht="12.75">
      <c r="E420" s="92"/>
      <c r="F420" s="92"/>
      <c r="G420" s="92"/>
      <c r="H420" s="93"/>
    </row>
    <row r="421" spans="5:8" ht="12.75">
      <c r="E421" s="92"/>
      <c r="F421" s="92"/>
      <c r="G421" s="92"/>
      <c r="H421" s="93"/>
    </row>
    <row r="422" spans="5:8" ht="12.75">
      <c r="E422" s="92"/>
      <c r="F422" s="92"/>
      <c r="G422" s="92"/>
      <c r="H422" s="93"/>
    </row>
    <row r="423" spans="5:8" ht="12.75">
      <c r="E423" s="92"/>
      <c r="F423" s="92"/>
      <c r="G423" s="92"/>
      <c r="H423" s="93"/>
    </row>
    <row r="424" spans="5:8" ht="12.75">
      <c r="E424" s="92"/>
      <c r="F424" s="92"/>
      <c r="G424" s="92"/>
      <c r="H424" s="93"/>
    </row>
    <row r="425" spans="5:8" ht="12.75">
      <c r="E425" s="92"/>
      <c r="F425" s="92"/>
      <c r="G425" s="92"/>
      <c r="H425" s="93"/>
    </row>
    <row r="426" spans="5:8" ht="12.75">
      <c r="E426" s="92"/>
      <c r="F426" s="92"/>
      <c r="G426" s="92"/>
      <c r="H426" s="93"/>
    </row>
    <row r="427" spans="5:8" ht="12.75">
      <c r="E427" s="92"/>
      <c r="F427" s="92"/>
      <c r="G427" s="92"/>
      <c r="H427" s="93"/>
    </row>
    <row r="428" spans="5:8" ht="12.75">
      <c r="E428" s="92"/>
      <c r="F428" s="92"/>
      <c r="G428" s="92"/>
      <c r="H428" s="93"/>
    </row>
    <row r="429" spans="5:8" ht="12.75">
      <c r="E429" s="92"/>
      <c r="F429" s="92"/>
      <c r="G429" s="92"/>
      <c r="H429" s="93"/>
    </row>
    <row r="430" spans="5:8" ht="12.75">
      <c r="E430" s="92"/>
      <c r="F430" s="92"/>
      <c r="G430" s="92"/>
      <c r="H430" s="93"/>
    </row>
    <row r="431" spans="5:8" ht="12.75">
      <c r="E431" s="92"/>
      <c r="F431" s="92"/>
      <c r="G431" s="92"/>
      <c r="H431" s="93"/>
    </row>
    <row r="432" spans="5:8" ht="12.75">
      <c r="E432" s="92"/>
      <c r="F432" s="92"/>
      <c r="G432" s="92"/>
      <c r="H432" s="93"/>
    </row>
    <row r="433" spans="5:8" ht="12.75">
      <c r="E433" s="92"/>
      <c r="F433" s="92"/>
      <c r="G433" s="92"/>
      <c r="H433" s="93"/>
    </row>
    <row r="434" spans="5:8" ht="12.75">
      <c r="E434" s="92"/>
      <c r="F434" s="92"/>
      <c r="G434" s="92"/>
      <c r="H434" s="93"/>
    </row>
    <row r="435" spans="5:8" ht="12.75">
      <c r="E435" s="92"/>
      <c r="F435" s="92"/>
      <c r="G435" s="92"/>
      <c r="H435" s="93"/>
    </row>
    <row r="436" spans="5:8" ht="12.75">
      <c r="E436" s="92"/>
      <c r="F436" s="92"/>
      <c r="G436" s="92"/>
      <c r="H436" s="93"/>
    </row>
    <row r="437" spans="5:8" ht="12.75">
      <c r="E437" s="92"/>
      <c r="F437" s="92"/>
      <c r="G437" s="92"/>
      <c r="H437" s="93"/>
    </row>
    <row r="438" spans="5:8" ht="12.75">
      <c r="E438" s="92"/>
      <c r="F438" s="92"/>
      <c r="G438" s="92"/>
      <c r="H438" s="93"/>
    </row>
    <row r="439" spans="5:8" ht="12.75">
      <c r="E439" s="92"/>
      <c r="F439" s="92"/>
      <c r="G439" s="92"/>
      <c r="H439" s="93"/>
    </row>
    <row r="440" spans="5:8" ht="12.75">
      <c r="E440" s="92"/>
      <c r="F440" s="92"/>
      <c r="G440" s="92"/>
      <c r="H440" s="93"/>
    </row>
    <row r="441" spans="5:8" ht="12.75">
      <c r="E441" s="92"/>
      <c r="F441" s="92"/>
      <c r="G441" s="92"/>
      <c r="H441" s="93"/>
    </row>
    <row r="442" spans="5:8" ht="12.75">
      <c r="E442" s="92"/>
      <c r="F442" s="92"/>
      <c r="G442" s="92"/>
      <c r="H442" s="93"/>
    </row>
    <row r="443" spans="5:8" ht="12.75">
      <c r="E443" s="92"/>
      <c r="F443" s="92"/>
      <c r="G443" s="92"/>
      <c r="H443" s="93"/>
    </row>
    <row r="444" spans="5:8" ht="12.75">
      <c r="E444" s="92"/>
      <c r="F444" s="92"/>
      <c r="G444" s="92"/>
      <c r="H444" s="93"/>
    </row>
    <row r="445" spans="5:8" ht="12.75">
      <c r="E445" s="92"/>
      <c r="F445" s="92"/>
      <c r="G445" s="92"/>
      <c r="H445" s="93"/>
    </row>
    <row r="446" spans="5:8" ht="12.75">
      <c r="E446" s="92"/>
      <c r="F446" s="92"/>
      <c r="G446" s="92"/>
      <c r="H446" s="93"/>
    </row>
    <row r="447" spans="5:8" ht="12.75">
      <c r="E447" s="92"/>
      <c r="F447" s="92"/>
      <c r="G447" s="92"/>
      <c r="H447" s="93"/>
    </row>
    <row r="448" spans="5:8" ht="12.75">
      <c r="E448" s="92"/>
      <c r="F448" s="92"/>
      <c r="G448" s="92"/>
      <c r="H448" s="93"/>
    </row>
    <row r="449" spans="5:8" ht="12.75">
      <c r="E449" s="92"/>
      <c r="F449" s="92"/>
      <c r="G449" s="92"/>
      <c r="H449" s="93"/>
    </row>
    <row r="450" spans="5:8" ht="12.75">
      <c r="E450" s="92"/>
      <c r="F450" s="92"/>
      <c r="G450" s="92"/>
      <c r="H450" s="93"/>
    </row>
    <row r="451" spans="5:8" ht="12.75">
      <c r="E451" s="92"/>
      <c r="F451" s="92"/>
      <c r="G451" s="92"/>
      <c r="H451" s="93"/>
    </row>
    <row r="452" spans="5:8" ht="12.75">
      <c r="E452" s="92"/>
      <c r="F452" s="92"/>
      <c r="G452" s="92"/>
      <c r="H452" s="93"/>
    </row>
    <row r="453" spans="5:8" ht="12.75">
      <c r="E453" s="92"/>
      <c r="F453" s="92"/>
      <c r="G453" s="92"/>
      <c r="H453" s="93"/>
    </row>
    <row r="454" spans="5:8" ht="12.75">
      <c r="E454" s="92"/>
      <c r="F454" s="92"/>
      <c r="G454" s="92"/>
      <c r="H454" s="93"/>
    </row>
    <row r="455" spans="5:8" ht="12.75">
      <c r="E455" s="92"/>
      <c r="F455" s="92"/>
      <c r="G455" s="92"/>
      <c r="H455" s="93"/>
    </row>
    <row r="456" spans="5:8" ht="12.75">
      <c r="E456" s="92"/>
      <c r="F456" s="92"/>
      <c r="G456" s="92"/>
      <c r="H456" s="93"/>
    </row>
    <row r="457" spans="5:8" ht="12.75">
      <c r="E457" s="92"/>
      <c r="F457" s="92"/>
      <c r="G457" s="92"/>
      <c r="H457" s="93"/>
    </row>
    <row r="458" spans="5:8" ht="12.75">
      <c r="E458" s="92"/>
      <c r="F458" s="92"/>
      <c r="G458" s="92"/>
      <c r="H458" s="93"/>
    </row>
    <row r="459" spans="5:8" ht="12.75">
      <c r="E459" s="92"/>
      <c r="F459" s="92"/>
      <c r="G459" s="92"/>
      <c r="H459" s="93"/>
    </row>
    <row r="460" spans="5:8" ht="12.75">
      <c r="E460" s="92"/>
      <c r="F460" s="92"/>
      <c r="G460" s="92"/>
      <c r="H460" s="93"/>
    </row>
    <row r="461" spans="5:8" ht="12.75">
      <c r="E461" s="92"/>
      <c r="F461" s="92"/>
      <c r="G461" s="92"/>
      <c r="H461" s="93"/>
    </row>
    <row r="462" spans="5:8" ht="12.75">
      <c r="E462" s="92"/>
      <c r="F462" s="92"/>
      <c r="G462" s="92"/>
      <c r="H462" s="93"/>
    </row>
    <row r="463" spans="5:8" ht="12.75">
      <c r="E463" s="92"/>
      <c r="F463" s="92"/>
      <c r="G463" s="92"/>
      <c r="H463" s="93"/>
    </row>
    <row r="464" spans="5:8" ht="12.75">
      <c r="E464" s="92"/>
      <c r="F464" s="92"/>
      <c r="G464" s="92"/>
      <c r="H464" s="93"/>
    </row>
    <row r="465" spans="5:8" ht="12.75">
      <c r="E465" s="92"/>
      <c r="F465" s="92"/>
      <c r="G465" s="92"/>
      <c r="H465" s="93"/>
    </row>
    <row r="466" spans="5:8" ht="12.75">
      <c r="E466" s="92"/>
      <c r="F466" s="92"/>
      <c r="G466" s="92"/>
      <c r="H466" s="93"/>
    </row>
    <row r="467" spans="5:8" ht="12.75">
      <c r="E467" s="92"/>
      <c r="F467" s="92"/>
      <c r="G467" s="92"/>
      <c r="H467" s="93"/>
    </row>
    <row r="468" spans="5:8" ht="12.75">
      <c r="E468" s="92"/>
      <c r="F468" s="92"/>
      <c r="G468" s="92"/>
      <c r="H468" s="93"/>
    </row>
    <row r="469" spans="5:8" ht="12.75">
      <c r="E469" s="92"/>
      <c r="F469" s="92"/>
      <c r="G469" s="92"/>
      <c r="H469" s="93"/>
    </row>
    <row r="470" spans="5:8" ht="12.75">
      <c r="E470" s="92"/>
      <c r="F470" s="92"/>
      <c r="G470" s="92"/>
      <c r="H470" s="93"/>
    </row>
    <row r="471" spans="5:8" ht="12.75">
      <c r="E471" s="92"/>
      <c r="F471" s="92"/>
      <c r="G471" s="92"/>
      <c r="H471" s="93"/>
    </row>
    <row r="472" spans="5:8" ht="12.75">
      <c r="E472" s="92"/>
      <c r="F472" s="92"/>
      <c r="G472" s="92"/>
      <c r="H472" s="93"/>
    </row>
    <row r="473" spans="5:8" ht="12.75">
      <c r="E473" s="92"/>
      <c r="F473" s="92"/>
      <c r="G473" s="92"/>
      <c r="H473" s="93"/>
    </row>
    <row r="474" spans="5:8" ht="12.75">
      <c r="E474" s="92"/>
      <c r="F474" s="92"/>
      <c r="G474" s="92"/>
      <c r="H474" s="93"/>
    </row>
    <row r="475" spans="5:8" ht="12.75">
      <c r="E475" s="92"/>
      <c r="F475" s="92"/>
      <c r="G475" s="92"/>
      <c r="H475" s="93"/>
    </row>
    <row r="476" spans="5:8" ht="12.75">
      <c r="E476" s="92"/>
      <c r="F476" s="92"/>
      <c r="G476" s="92"/>
      <c r="H476" s="93"/>
    </row>
    <row r="477" spans="5:8" ht="12.75">
      <c r="E477" s="92"/>
      <c r="F477" s="92"/>
      <c r="G477" s="92"/>
      <c r="H477" s="93"/>
    </row>
  </sheetData>
  <printOptions/>
  <pageMargins left="0.75" right="0.75" top="1" bottom="1" header="0.5" footer="0.5"/>
  <pageSetup horizontalDpi="600" verticalDpi="600" orientation="landscape" r:id="rId3"/>
  <rowBreaks count="2" manualBreakCount="2">
    <brk id="32" max="255" man="1"/>
    <brk id="5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116" customWidth="1"/>
    <col min="3" max="3" width="15.7109375" style="123" customWidth="1"/>
    <col min="4" max="4" width="3.00390625" style="0" customWidth="1"/>
    <col min="6" max="6" width="5.00390625" style="0" customWidth="1"/>
  </cols>
  <sheetData>
    <row r="1" ht="14.25">
      <c r="B1" s="116" t="s">
        <v>110</v>
      </c>
    </row>
    <row r="3" ht="14.25">
      <c r="C3" s="118"/>
    </row>
    <row r="4" spans="2:3" ht="14.25">
      <c r="B4" s="116" t="s">
        <v>62</v>
      </c>
      <c r="C4" s="119">
        <f>SUM(Category!E10)</f>
        <v>793398</v>
      </c>
    </row>
    <row r="5" spans="2:3" ht="14.25">
      <c r="B5" s="116" t="s">
        <v>61</v>
      </c>
      <c r="C5" s="119">
        <f>SUM(Category!E31)</f>
        <v>10896636</v>
      </c>
    </row>
    <row r="6" spans="2:3" ht="14.25">
      <c r="B6" s="116" t="s">
        <v>66</v>
      </c>
      <c r="C6" s="119">
        <f>SUM(Category!E36)</f>
        <v>588222</v>
      </c>
    </row>
    <row r="7" spans="2:3" ht="14.25">
      <c r="B7" s="116" t="s">
        <v>63</v>
      </c>
      <c r="C7" s="120">
        <f>SUM(Category!E44)</f>
        <v>762180</v>
      </c>
    </row>
    <row r="8" spans="2:3" ht="14.25">
      <c r="B8" s="116" t="s">
        <v>57</v>
      </c>
      <c r="C8" s="120">
        <f>SUM(Category!E57)</f>
        <v>1332215</v>
      </c>
    </row>
    <row r="9" spans="1:3" ht="14.25">
      <c r="A9" s="14"/>
      <c r="B9" s="117" t="s">
        <v>64</v>
      </c>
      <c r="C9" s="119">
        <f>SUM(Category!E70)</f>
        <v>12521610</v>
      </c>
    </row>
    <row r="10" spans="2:3" ht="15" thickBot="1">
      <c r="B10" s="116" t="s">
        <v>40</v>
      </c>
      <c r="C10" s="121">
        <f>SUM(Category!E72)</f>
        <v>275604</v>
      </c>
    </row>
    <row r="11" spans="2:3" ht="14.25">
      <c r="B11" s="116" t="s">
        <v>0</v>
      </c>
      <c r="C11" s="122">
        <f>SUM(C4:C10)</f>
        <v>27169865</v>
      </c>
    </row>
    <row r="12" ht="14.25">
      <c r="C12" s="116"/>
    </row>
    <row r="13" spans="1:7" ht="14.25">
      <c r="A13" t="s">
        <v>107</v>
      </c>
      <c r="B13" s="116" t="s">
        <v>100</v>
      </c>
      <c r="C13" s="122">
        <f>SUM(Category!E66)</f>
        <v>9501677</v>
      </c>
      <c r="E13" t="s">
        <v>103</v>
      </c>
      <c r="G13" t="s">
        <v>64</v>
      </c>
    </row>
    <row r="14" spans="1:7" ht="14.25">
      <c r="A14" t="s">
        <v>108</v>
      </c>
      <c r="B14" s="116" t="s">
        <v>101</v>
      </c>
      <c r="C14" s="122">
        <f>SUM(Category!E17)</f>
        <v>5800000</v>
      </c>
      <c r="E14" t="s">
        <v>103</v>
      </c>
      <c r="G14" t="s">
        <v>61</v>
      </c>
    </row>
    <row r="16" spans="2:5" ht="14.25">
      <c r="B16" s="116" t="s">
        <v>84</v>
      </c>
      <c r="C16" s="124">
        <f>SUM(C13:C14)</f>
        <v>15301677</v>
      </c>
      <c r="E16" t="s">
        <v>109</v>
      </c>
    </row>
    <row r="17" spans="2:5" ht="14.25">
      <c r="B17" s="116" t="s">
        <v>84</v>
      </c>
      <c r="C17" s="124">
        <f>C11-C16</f>
        <v>11868188</v>
      </c>
      <c r="E17" t="s">
        <v>102</v>
      </c>
    </row>
    <row r="18" spans="2:3" ht="14.25">
      <c r="B18" s="116" t="s">
        <v>0</v>
      </c>
      <c r="C18" s="124">
        <f>SUM(C16+C17)</f>
        <v>27169865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0"/>
  <sheetViews>
    <sheetView workbookViewId="0" topLeftCell="A1">
      <pane xSplit="1" ySplit="5" topLeftCell="O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2" sqref="W12"/>
    </sheetView>
  </sheetViews>
  <sheetFormatPr defaultColWidth="9.140625" defaultRowHeight="12.75"/>
  <cols>
    <col min="1" max="1" width="18.8515625" style="0" customWidth="1"/>
    <col min="2" max="22" width="11.8515625" style="0" customWidth="1"/>
  </cols>
  <sheetData>
    <row r="1" spans="1:2" ht="12.75">
      <c r="A1" t="s">
        <v>118</v>
      </c>
      <c r="B1">
        <v>20</v>
      </c>
    </row>
    <row r="2" spans="1:3" ht="12.75">
      <c r="A2" t="s">
        <v>117</v>
      </c>
      <c r="B2" s="133">
        <v>0.03</v>
      </c>
      <c r="C2" s="134">
        <f>FV(B2,B3,0,-1)</f>
        <v>1.1592740742999998</v>
      </c>
    </row>
    <row r="3" spans="1:2" ht="12.75">
      <c r="A3" t="s">
        <v>115</v>
      </c>
      <c r="B3">
        <v>5</v>
      </c>
    </row>
    <row r="5" spans="2:23" ht="12.75">
      <c r="B5" s="130">
        <v>1</v>
      </c>
      <c r="C5" s="130">
        <v>2</v>
      </c>
      <c r="D5" s="130">
        <v>3</v>
      </c>
      <c r="E5" s="130">
        <v>4</v>
      </c>
      <c r="F5" s="130">
        <v>5</v>
      </c>
      <c r="G5" s="130">
        <v>6</v>
      </c>
      <c r="H5" s="130">
        <v>7</v>
      </c>
      <c r="I5" s="130">
        <v>8</v>
      </c>
      <c r="J5" s="130">
        <v>9</v>
      </c>
      <c r="K5" s="130">
        <v>10</v>
      </c>
      <c r="L5" s="130">
        <v>11</v>
      </c>
      <c r="M5" s="130">
        <v>12</v>
      </c>
      <c r="N5" s="130">
        <v>13</v>
      </c>
      <c r="O5" s="130">
        <v>14</v>
      </c>
      <c r="P5" s="130">
        <v>15</v>
      </c>
      <c r="Q5" s="130">
        <v>16</v>
      </c>
      <c r="R5" s="130">
        <v>17</v>
      </c>
      <c r="S5" s="130">
        <v>18</v>
      </c>
      <c r="T5" s="130">
        <v>19</v>
      </c>
      <c r="U5" s="130">
        <v>20</v>
      </c>
      <c r="V5" s="130"/>
      <c r="W5" s="130" t="s">
        <v>116</v>
      </c>
    </row>
    <row r="6" spans="1:23" ht="12.75">
      <c r="A6" s="128">
        <f>-'Emergy Costs'!G9</f>
        <v>-80202</v>
      </c>
      <c r="B6" s="128">
        <f>+'Emergy Costs'!H9</f>
        <v>1063</v>
      </c>
      <c r="C6" s="129">
        <f>IF(C$5&gt;$B$1,0,$B6)+IF(C$5=$B$3,'Emergy Costs'!$I9*$C$2,0)</f>
        <v>1063</v>
      </c>
      <c r="D6" s="129">
        <f>IF(D$5&gt;$B$1,0,$B6)+IF(D$5=$B$3,'Emergy Costs'!$I9*$C$2,0)</f>
        <v>1063</v>
      </c>
      <c r="E6" s="129">
        <f>IF(E$5&gt;$B$1,0,$B6)+IF(E$5=$B$3,'Emergy Costs'!$I9*$C$2,0)</f>
        <v>1063</v>
      </c>
      <c r="F6" s="129">
        <f>IF(F$5&gt;$B$1,0,$B6)+IF(F$5=$B$3,'Emergy Costs'!$I9*$C$2,0)</f>
        <v>94039.09930700858</v>
      </c>
      <c r="G6" s="129">
        <f>IF(G$5&gt;$B$1,0,$B6)+IF(G$5=$B$3,'Emergy Costs'!$I9*$C$2,0)</f>
        <v>1063</v>
      </c>
      <c r="H6" s="129">
        <f>IF(H$5&gt;$B$1,0,$B6)+IF(H$5=$B$3,'Emergy Costs'!$I9*$C$2,0)</f>
        <v>1063</v>
      </c>
      <c r="I6" s="129">
        <f>IF(I$5&gt;$B$1,0,$B6)+IF(I$5=$B$3,'Emergy Costs'!$I9*$C$2,0)</f>
        <v>1063</v>
      </c>
      <c r="J6" s="129">
        <f>IF(J$5&gt;$B$1,0,$B6)+IF(J$5=$B$3,'Emergy Costs'!$I9*$C$2,0)</f>
        <v>1063</v>
      </c>
      <c r="K6" s="129">
        <f>IF(K$5&gt;$B$1,0,$B6)+IF(K$5=$B$3,'Emergy Costs'!$I9*$C$2,0)</f>
        <v>1063</v>
      </c>
      <c r="L6" s="129">
        <f>IF(L$5&gt;$B$1,0,$B6)+IF(L$5=$B$3,'Emergy Costs'!$I9*$C$2,0)</f>
        <v>1063</v>
      </c>
      <c r="M6" s="129">
        <f>IF(M$5&gt;$B$1,0,$B6)+IF(M$5=$B$3,'Emergy Costs'!$I9*$C$2,0)</f>
        <v>1063</v>
      </c>
      <c r="N6" s="129">
        <f>IF(N$5&gt;$B$1,0,$B6)+IF(N$5=$B$3,'Emergy Costs'!$I9*$C$2,0)</f>
        <v>1063</v>
      </c>
      <c r="O6" s="129">
        <f>IF(O$5&gt;$B$1,0,$B6)+IF(O$5=$B$3,'Emergy Costs'!$I9*$C$2,0)</f>
        <v>1063</v>
      </c>
      <c r="P6" s="129">
        <f>IF(P$5&gt;$B$1,0,$B6)+IF(P$5=$B$3,'Emergy Costs'!$I9*$C$2,0)</f>
        <v>1063</v>
      </c>
      <c r="Q6" s="129">
        <f>IF(Q$5&gt;$B$1,0,$B6)+IF(Q$5=$B$3,'Emergy Costs'!$I9*$C$2,0)</f>
        <v>1063</v>
      </c>
      <c r="R6" s="129">
        <f>IF(R$5&gt;$B$1,0,$B6)+IF(R$5=$B$3,'Emergy Costs'!$I9*$C$2,0)</f>
        <v>1063</v>
      </c>
      <c r="S6" s="129">
        <f>IF(S$5&gt;$B$1,0,$B6)+IF(S$5=$B$3,'Emergy Costs'!$I9*$C$2,0)</f>
        <v>1063</v>
      </c>
      <c r="T6" s="129">
        <f>IF(T$5&gt;$B$1,0,$B6)+IF(T$5=$B$3,'Emergy Costs'!$I9*$C$2,0)</f>
        <v>1063</v>
      </c>
      <c r="U6" s="129">
        <f>IF(U$5&gt;$B$1,0,$B6)+IF(U$5=$B$3,'Emergy Costs'!$I9*$C$2,0)</f>
        <v>1063</v>
      </c>
      <c r="V6" s="129">
        <f>SUM(A6:U6)</f>
        <v>34034.09930700858</v>
      </c>
      <c r="W6" s="135">
        <f>IRR(A6:U6,0.1)</f>
        <v>0.0634829898341535</v>
      </c>
    </row>
    <row r="7" spans="1:23" ht="12.75">
      <c r="A7" s="128">
        <f>-'Emergy Costs'!G11</f>
        <v>-5800000</v>
      </c>
      <c r="B7" s="128">
        <f>+'Emergy Costs'!H11</f>
        <v>0</v>
      </c>
      <c r="C7" s="129">
        <f>IF(C$5&gt;$B$1,0,$B7)+IF(C$5=$B$3,'Emergy Costs'!$I11*$C$2,0)</f>
        <v>0</v>
      </c>
      <c r="D7" s="129">
        <f>IF(D$5&gt;$B$1,0,$B7)+IF(D$5=$B$3,'Emergy Costs'!$I11*$C$2,0)</f>
        <v>0</v>
      </c>
      <c r="E7" s="129">
        <f>IF(E$5&gt;$B$1,0,$B7)+IF(E$5=$B$3,'Emergy Costs'!$I11*$C$2,0)</f>
        <v>0</v>
      </c>
      <c r="F7" s="129">
        <f>IF(F$5&gt;$B$1,0,$B7)+IF(F$5=$B$3,'Emergy Costs'!$I11*$C$2,0)</f>
        <v>6723789.630939999</v>
      </c>
      <c r="G7" s="129">
        <f>IF(G$5&gt;$B$1,0,$B7)+IF(G$5=$B$3,'Emergy Costs'!$I11*$C$2,0)</f>
        <v>0</v>
      </c>
      <c r="H7" s="129">
        <f>IF(H$5&gt;$B$1,0,$B7)+IF(H$5=$B$3,'Emergy Costs'!$I11*$C$2,0)</f>
        <v>0</v>
      </c>
      <c r="I7" s="129">
        <f>IF(I$5&gt;$B$1,0,$B7)+IF(I$5=$B$3,'Emergy Costs'!$I11*$C$2,0)</f>
        <v>0</v>
      </c>
      <c r="J7" s="129">
        <f>IF(J$5&gt;$B$1,0,$B7)+IF(J$5=$B$3,'Emergy Costs'!$I11*$C$2,0)</f>
        <v>0</v>
      </c>
      <c r="K7" s="129">
        <f>IF(K$5&gt;$B$1,0,$B7)+IF(K$5=$B$3,'Emergy Costs'!$I11*$C$2,0)</f>
        <v>0</v>
      </c>
      <c r="L7" s="129">
        <f>IF(L$5&gt;$B$1,0,$B7)+IF(L$5=$B$3,'Emergy Costs'!$I11*$C$2,0)</f>
        <v>0</v>
      </c>
      <c r="M7" s="129">
        <f>IF(M$5&gt;$B$1,0,$B7)+IF(M$5=$B$3,'Emergy Costs'!$I11*$C$2,0)</f>
        <v>0</v>
      </c>
      <c r="N7" s="129">
        <f>IF(N$5&gt;$B$1,0,$B7)+IF(N$5=$B$3,'Emergy Costs'!$I11*$C$2,0)</f>
        <v>0</v>
      </c>
      <c r="O7" s="129">
        <f>IF(O$5&gt;$B$1,0,$B7)+IF(O$5=$B$3,'Emergy Costs'!$I11*$C$2,0)</f>
        <v>0</v>
      </c>
      <c r="P7" s="129">
        <f>IF(P$5&gt;$B$1,0,$B7)+IF(P$5=$B$3,'Emergy Costs'!$I11*$C$2,0)</f>
        <v>0</v>
      </c>
      <c r="Q7" s="129">
        <f>IF(Q$5&gt;$B$1,0,$B7)+IF(Q$5=$B$3,'Emergy Costs'!$I11*$C$2,0)</f>
        <v>0</v>
      </c>
      <c r="R7" s="129">
        <f>IF(R$5&gt;$B$1,0,$B7)+IF(R$5=$B$3,'Emergy Costs'!$I11*$C$2,0)</f>
        <v>0</v>
      </c>
      <c r="S7" s="129">
        <f>IF(S$5&gt;$B$1,0,$B7)+IF(S$5=$B$3,'Emergy Costs'!$I11*$C$2,0)</f>
        <v>0</v>
      </c>
      <c r="T7" s="129">
        <f>IF(T$5&gt;$B$1,0,$B7)+IF(T$5=$B$3,'Emergy Costs'!$I11*$C$2,0)</f>
        <v>0</v>
      </c>
      <c r="U7" s="129">
        <f>IF(U$5&gt;$B$1,0,$B7)+IF(U$5=$B$3,'Emergy Costs'!$I11*$C$2,0)</f>
        <v>0</v>
      </c>
      <c r="V7" s="129">
        <f aca="true" t="shared" si="0" ref="V7:V61">SUM(A7:U7)</f>
        <v>923789.6309399987</v>
      </c>
      <c r="W7" s="135">
        <f aca="true" t="shared" si="1" ref="W7:W61">IRR(A7:U7,0.1)</f>
        <v>0.03000000000000204</v>
      </c>
    </row>
    <row r="8" spans="1:23" ht="12.75">
      <c r="A8" s="128">
        <f>-'Emergy Costs'!G12</f>
        <v>-19380</v>
      </c>
      <c r="B8" s="128">
        <f>+'Emergy Costs'!H12</f>
        <v>500</v>
      </c>
      <c r="C8" s="129">
        <f>IF(C$5&gt;$B$1,0,$B8)+IF(C$5=$B$3,'Emergy Costs'!$I12*$C$2,0)</f>
        <v>500</v>
      </c>
      <c r="D8" s="129">
        <f>IF(D$5&gt;$B$1,0,$B8)+IF(D$5=$B$3,'Emergy Costs'!$I12*$C$2,0)</f>
        <v>500</v>
      </c>
      <c r="E8" s="129">
        <f>IF(E$5&gt;$B$1,0,$B8)+IF(E$5=$B$3,'Emergy Costs'!$I12*$C$2,0)</f>
        <v>500</v>
      </c>
      <c r="F8" s="129">
        <f>IF(F$5&gt;$B$1,0,$B8)+IF(F$5=$B$3,'Emergy Costs'!$I12*$C$2,0)</f>
        <v>22966.731559933996</v>
      </c>
      <c r="G8" s="129">
        <f>IF(G$5&gt;$B$1,0,$B8)+IF(G$5=$B$3,'Emergy Costs'!$I12*$C$2,0)</f>
        <v>500</v>
      </c>
      <c r="H8" s="129">
        <f>IF(H$5&gt;$B$1,0,$B8)+IF(H$5=$B$3,'Emergy Costs'!$I12*$C$2,0)</f>
        <v>500</v>
      </c>
      <c r="I8" s="129">
        <f>IF(I$5&gt;$B$1,0,$B8)+IF(I$5=$B$3,'Emergy Costs'!$I12*$C$2,0)</f>
        <v>500</v>
      </c>
      <c r="J8" s="129">
        <f>IF(J$5&gt;$B$1,0,$B8)+IF(J$5=$B$3,'Emergy Costs'!$I12*$C$2,0)</f>
        <v>500</v>
      </c>
      <c r="K8" s="129">
        <f>IF(K$5&gt;$B$1,0,$B8)+IF(K$5=$B$3,'Emergy Costs'!$I12*$C$2,0)</f>
        <v>500</v>
      </c>
      <c r="L8" s="129">
        <f>IF(L$5&gt;$B$1,0,$B8)+IF(L$5=$B$3,'Emergy Costs'!$I12*$C$2,0)</f>
        <v>500</v>
      </c>
      <c r="M8" s="129">
        <f>IF(M$5&gt;$B$1,0,$B8)+IF(M$5=$B$3,'Emergy Costs'!$I12*$C$2,0)</f>
        <v>500</v>
      </c>
      <c r="N8" s="129">
        <f>IF(N$5&gt;$B$1,0,$B8)+IF(N$5=$B$3,'Emergy Costs'!$I12*$C$2,0)</f>
        <v>500</v>
      </c>
      <c r="O8" s="129">
        <f>IF(O$5&gt;$B$1,0,$B8)+IF(O$5=$B$3,'Emergy Costs'!$I12*$C$2,0)</f>
        <v>500</v>
      </c>
      <c r="P8" s="129">
        <f>IF(P$5&gt;$B$1,0,$B8)+IF(P$5=$B$3,'Emergy Costs'!$I12*$C$2,0)</f>
        <v>500</v>
      </c>
      <c r="Q8" s="129">
        <f>IF(Q$5&gt;$B$1,0,$B8)+IF(Q$5=$B$3,'Emergy Costs'!$I12*$C$2,0)</f>
        <v>500</v>
      </c>
      <c r="R8" s="129">
        <f>IF(R$5&gt;$B$1,0,$B8)+IF(R$5=$B$3,'Emergy Costs'!$I12*$C$2,0)</f>
        <v>500</v>
      </c>
      <c r="S8" s="129">
        <f>IF(S$5&gt;$B$1,0,$B8)+IF(S$5=$B$3,'Emergy Costs'!$I12*$C$2,0)</f>
        <v>500</v>
      </c>
      <c r="T8" s="129">
        <f>IF(T$5&gt;$B$1,0,$B8)+IF(T$5=$B$3,'Emergy Costs'!$I12*$C$2,0)</f>
        <v>500</v>
      </c>
      <c r="U8" s="129">
        <f>IF(U$5&gt;$B$1,0,$B8)+IF(U$5=$B$3,'Emergy Costs'!$I12*$C$2,0)</f>
        <v>500</v>
      </c>
      <c r="V8" s="129">
        <f t="shared" si="0"/>
        <v>13086.731559933996</v>
      </c>
      <c r="W8" s="135">
        <f t="shared" si="1"/>
        <v>0.08786751683077666</v>
      </c>
    </row>
    <row r="9" spans="1:23" ht="12.75">
      <c r="A9" s="128">
        <f>-'Emergy Costs'!G18</f>
        <v>-1276824</v>
      </c>
      <c r="B9" s="128">
        <f>+'Emergy Costs'!H18</f>
        <v>17190</v>
      </c>
      <c r="C9" s="129">
        <f>IF(C$5&gt;$B$1,0,$B9)+IF(C$5=$B$3,'Emergy Costs'!$I18*$C$2,0)</f>
        <v>17190</v>
      </c>
      <c r="D9" s="129">
        <f>IF(D$5&gt;$B$1,0,$B9)+IF(D$5=$B$3,'Emergy Costs'!$I18*$C$2,0)</f>
        <v>17190</v>
      </c>
      <c r="E9" s="129">
        <f>IF(E$5&gt;$B$1,0,$B9)+IF(E$5=$B$3,'Emergy Costs'!$I18*$C$2,0)</f>
        <v>17190</v>
      </c>
      <c r="F9" s="129">
        <f>IF(F$5&gt;$B$1,0,$B9)+IF(F$5=$B$3,'Emergy Costs'!$I18*$C$2,0)</f>
        <v>1497378.960644023</v>
      </c>
      <c r="G9" s="129">
        <f>IF(G$5&gt;$B$1,0,$B9)+IF(G$5=$B$3,'Emergy Costs'!$I18*$C$2,0)</f>
        <v>17190</v>
      </c>
      <c r="H9" s="129">
        <f>IF(H$5&gt;$B$1,0,$B9)+IF(H$5=$B$3,'Emergy Costs'!$I18*$C$2,0)</f>
        <v>17190</v>
      </c>
      <c r="I9" s="129">
        <f>IF(I$5&gt;$B$1,0,$B9)+IF(I$5=$B$3,'Emergy Costs'!$I18*$C$2,0)</f>
        <v>17190</v>
      </c>
      <c r="J9" s="129">
        <f>IF(J$5&gt;$B$1,0,$B9)+IF(J$5=$B$3,'Emergy Costs'!$I18*$C$2,0)</f>
        <v>17190</v>
      </c>
      <c r="K9" s="129">
        <f>IF(K$5&gt;$B$1,0,$B9)+IF(K$5=$B$3,'Emergy Costs'!$I18*$C$2,0)</f>
        <v>17190</v>
      </c>
      <c r="L9" s="129">
        <f>IF(L$5&gt;$B$1,0,$B9)+IF(L$5=$B$3,'Emergy Costs'!$I18*$C$2,0)</f>
        <v>17190</v>
      </c>
      <c r="M9" s="129">
        <f>IF(M$5&gt;$B$1,0,$B9)+IF(M$5=$B$3,'Emergy Costs'!$I18*$C$2,0)</f>
        <v>17190</v>
      </c>
      <c r="N9" s="129">
        <f>IF(N$5&gt;$B$1,0,$B9)+IF(N$5=$B$3,'Emergy Costs'!$I18*$C$2,0)</f>
        <v>17190</v>
      </c>
      <c r="O9" s="129">
        <f>IF(O$5&gt;$B$1,0,$B9)+IF(O$5=$B$3,'Emergy Costs'!$I18*$C$2,0)</f>
        <v>17190</v>
      </c>
      <c r="P9" s="129">
        <f>IF(P$5&gt;$B$1,0,$B9)+IF(P$5=$B$3,'Emergy Costs'!$I18*$C$2,0)</f>
        <v>17190</v>
      </c>
      <c r="Q9" s="129">
        <f>IF(Q$5&gt;$B$1,0,$B9)+IF(Q$5=$B$3,'Emergy Costs'!$I18*$C$2,0)</f>
        <v>17190</v>
      </c>
      <c r="R9" s="129">
        <f>IF(R$5&gt;$B$1,0,$B9)+IF(R$5=$B$3,'Emergy Costs'!$I18*$C$2,0)</f>
        <v>17190</v>
      </c>
      <c r="S9" s="129">
        <f>IF(S$5&gt;$B$1,0,$B9)+IF(S$5=$B$3,'Emergy Costs'!$I18*$C$2,0)</f>
        <v>17190</v>
      </c>
      <c r="T9" s="129">
        <f>IF(T$5&gt;$B$1,0,$B9)+IF(T$5=$B$3,'Emergy Costs'!$I18*$C$2,0)</f>
        <v>17190</v>
      </c>
      <c r="U9" s="129">
        <f>IF(U$5&gt;$B$1,0,$B9)+IF(U$5=$B$3,'Emergy Costs'!$I18*$C$2,0)</f>
        <v>17190</v>
      </c>
      <c r="V9" s="129">
        <f t="shared" si="0"/>
        <v>547164.960644023</v>
      </c>
      <c r="W9" s="135">
        <f t="shared" si="1"/>
        <v>0.06393147021137821</v>
      </c>
    </row>
    <row r="10" spans="1:23" ht="12.75">
      <c r="A10" s="128">
        <f>-'Emergy Costs'!G19</f>
        <v>-9960</v>
      </c>
      <c r="B10" s="128">
        <f>+'Emergy Costs'!H19</f>
        <v>300</v>
      </c>
      <c r="C10" s="129">
        <f>IF(C$5&gt;$B$1,0,$B10)+IF(C$5=$B$3,'Emergy Costs'!$I19*$C$2,0)</f>
        <v>300</v>
      </c>
      <c r="D10" s="129">
        <f>IF(D$5&gt;$B$1,0,$B10)+IF(D$5=$B$3,'Emergy Costs'!$I19*$C$2,0)</f>
        <v>300</v>
      </c>
      <c r="E10" s="129">
        <f>IF(E$5&gt;$B$1,0,$B10)+IF(E$5=$B$3,'Emergy Costs'!$I19*$C$2,0)</f>
        <v>300</v>
      </c>
      <c r="F10" s="129">
        <f>IF(F$5&gt;$B$1,0,$B10)+IF(F$5=$B$3,'Emergy Costs'!$I19*$C$2,0)</f>
        <v>11846.369780027999</v>
      </c>
      <c r="G10" s="129">
        <f>IF(G$5&gt;$B$1,0,$B10)+IF(G$5=$B$3,'Emergy Costs'!$I19*$C$2,0)</f>
        <v>300</v>
      </c>
      <c r="H10" s="129">
        <f>IF(H$5&gt;$B$1,0,$B10)+IF(H$5=$B$3,'Emergy Costs'!$I19*$C$2,0)</f>
        <v>300</v>
      </c>
      <c r="I10" s="129">
        <f>IF(I$5&gt;$B$1,0,$B10)+IF(I$5=$B$3,'Emergy Costs'!$I19*$C$2,0)</f>
        <v>300</v>
      </c>
      <c r="J10" s="129">
        <f>IF(J$5&gt;$B$1,0,$B10)+IF(J$5=$B$3,'Emergy Costs'!$I19*$C$2,0)</f>
        <v>300</v>
      </c>
      <c r="K10" s="129">
        <f>IF(K$5&gt;$B$1,0,$B10)+IF(K$5=$B$3,'Emergy Costs'!$I19*$C$2,0)</f>
        <v>300</v>
      </c>
      <c r="L10" s="129">
        <f>IF(L$5&gt;$B$1,0,$B10)+IF(L$5=$B$3,'Emergy Costs'!$I19*$C$2,0)</f>
        <v>300</v>
      </c>
      <c r="M10" s="129">
        <f>IF(M$5&gt;$B$1,0,$B10)+IF(M$5=$B$3,'Emergy Costs'!$I19*$C$2,0)</f>
        <v>300</v>
      </c>
      <c r="N10" s="129">
        <f>IF(N$5&gt;$B$1,0,$B10)+IF(N$5=$B$3,'Emergy Costs'!$I19*$C$2,0)</f>
        <v>300</v>
      </c>
      <c r="O10" s="129">
        <f>IF(O$5&gt;$B$1,0,$B10)+IF(O$5=$B$3,'Emergy Costs'!$I19*$C$2,0)</f>
        <v>300</v>
      </c>
      <c r="P10" s="129">
        <f>IF(P$5&gt;$B$1,0,$B10)+IF(P$5=$B$3,'Emergy Costs'!$I19*$C$2,0)</f>
        <v>300</v>
      </c>
      <c r="Q10" s="129">
        <f>IF(Q$5&gt;$B$1,0,$B10)+IF(Q$5=$B$3,'Emergy Costs'!$I19*$C$2,0)</f>
        <v>300</v>
      </c>
      <c r="R10" s="129">
        <f>IF(R$5&gt;$B$1,0,$B10)+IF(R$5=$B$3,'Emergy Costs'!$I19*$C$2,0)</f>
        <v>300</v>
      </c>
      <c r="S10" s="129">
        <f>IF(S$5&gt;$B$1,0,$B10)+IF(S$5=$B$3,'Emergy Costs'!$I19*$C$2,0)</f>
        <v>300</v>
      </c>
      <c r="T10" s="129">
        <f>IF(T$5&gt;$B$1,0,$B10)+IF(T$5=$B$3,'Emergy Costs'!$I19*$C$2,0)</f>
        <v>300</v>
      </c>
      <c r="U10" s="129">
        <f>IF(U$5&gt;$B$1,0,$B10)+IF(U$5=$B$3,'Emergy Costs'!$I19*$C$2,0)</f>
        <v>300</v>
      </c>
      <c r="V10" s="129">
        <f t="shared" si="0"/>
        <v>7586.369780027999</v>
      </c>
      <c r="W10" s="135">
        <f t="shared" si="1"/>
        <v>0.09535264871706532</v>
      </c>
    </row>
    <row r="11" spans="1:23" ht="12.75">
      <c r="A11" s="128">
        <f>-'Emergy Costs'!G20</f>
        <v>-24033</v>
      </c>
      <c r="B11" s="128">
        <f>+'Emergy Costs'!H20</f>
        <v>549</v>
      </c>
      <c r="C11" s="129">
        <f>IF(C$5&gt;$B$1,0,$B11)+IF(C$5=$B$3,'Emergy Costs'!$I20*$C$2,0)</f>
        <v>549</v>
      </c>
      <c r="D11" s="129">
        <f>IF(D$5&gt;$B$1,0,$B11)+IF(D$5=$B$3,'Emergy Costs'!$I20*$C$2,0)</f>
        <v>549</v>
      </c>
      <c r="E11" s="129">
        <f>IF(E$5&gt;$B$1,0,$B11)+IF(E$5=$B$3,'Emergy Costs'!$I20*$C$2,0)</f>
        <v>549</v>
      </c>
      <c r="F11" s="129">
        <f>IF(F$5&gt;$B$1,0,$B11)+IF(F$5=$B$3,'Emergy Costs'!$I20*$C$2,0)</f>
        <v>28409.833827651895</v>
      </c>
      <c r="G11" s="129">
        <f>IF(G$5&gt;$B$1,0,$B11)+IF(G$5=$B$3,'Emergy Costs'!$I20*$C$2,0)</f>
        <v>549</v>
      </c>
      <c r="H11" s="129">
        <f>IF(H$5&gt;$B$1,0,$B11)+IF(H$5=$B$3,'Emergy Costs'!$I20*$C$2,0)</f>
        <v>549</v>
      </c>
      <c r="I11" s="129">
        <f>IF(I$5&gt;$B$1,0,$B11)+IF(I$5=$B$3,'Emergy Costs'!$I20*$C$2,0)</f>
        <v>549</v>
      </c>
      <c r="J11" s="129">
        <f>IF(J$5&gt;$B$1,0,$B11)+IF(J$5=$B$3,'Emergy Costs'!$I20*$C$2,0)</f>
        <v>549</v>
      </c>
      <c r="K11" s="129">
        <f>IF(K$5&gt;$B$1,0,$B11)+IF(K$5=$B$3,'Emergy Costs'!$I20*$C$2,0)</f>
        <v>549</v>
      </c>
      <c r="L11" s="129">
        <f>IF(L$5&gt;$B$1,0,$B11)+IF(L$5=$B$3,'Emergy Costs'!$I20*$C$2,0)</f>
        <v>549</v>
      </c>
      <c r="M11" s="129">
        <f>IF(M$5&gt;$B$1,0,$B11)+IF(M$5=$B$3,'Emergy Costs'!$I20*$C$2,0)</f>
        <v>549</v>
      </c>
      <c r="N11" s="129">
        <f>IF(N$5&gt;$B$1,0,$B11)+IF(N$5=$B$3,'Emergy Costs'!$I20*$C$2,0)</f>
        <v>549</v>
      </c>
      <c r="O11" s="129">
        <f>IF(O$5&gt;$B$1,0,$B11)+IF(O$5=$B$3,'Emergy Costs'!$I20*$C$2,0)</f>
        <v>549</v>
      </c>
      <c r="P11" s="129">
        <f>IF(P$5&gt;$B$1,0,$B11)+IF(P$5=$B$3,'Emergy Costs'!$I20*$C$2,0)</f>
        <v>549</v>
      </c>
      <c r="Q11" s="129">
        <f>IF(Q$5&gt;$B$1,0,$B11)+IF(Q$5=$B$3,'Emergy Costs'!$I20*$C$2,0)</f>
        <v>549</v>
      </c>
      <c r="R11" s="129">
        <f>IF(R$5&gt;$B$1,0,$B11)+IF(R$5=$B$3,'Emergy Costs'!$I20*$C$2,0)</f>
        <v>549</v>
      </c>
      <c r="S11" s="129">
        <f>IF(S$5&gt;$B$1,0,$B11)+IF(S$5=$B$3,'Emergy Costs'!$I20*$C$2,0)</f>
        <v>549</v>
      </c>
      <c r="T11" s="129">
        <f>IF(T$5&gt;$B$1,0,$B11)+IF(T$5=$B$3,'Emergy Costs'!$I20*$C$2,0)</f>
        <v>549</v>
      </c>
      <c r="U11" s="129">
        <f>IF(U$5&gt;$B$1,0,$B11)+IF(U$5=$B$3,'Emergy Costs'!$I20*$C$2,0)</f>
        <v>549</v>
      </c>
      <c r="V11" s="129">
        <f t="shared" si="0"/>
        <v>14807.833827651895</v>
      </c>
      <c r="W11" s="135">
        <f t="shared" si="1"/>
        <v>0.08251602358256965</v>
      </c>
    </row>
    <row r="12" spans="1:23" ht="12.75">
      <c r="A12" s="128">
        <f>-'Emergy Costs'!G21</f>
        <v>-703156</v>
      </c>
      <c r="B12" s="128">
        <f>+'Emergy Costs'!H21</f>
        <v>4611</v>
      </c>
      <c r="C12" s="129">
        <f>IF(C$5&gt;$B$1,0,$B12)+IF(C$5=$B$3,'Emergy Costs'!$I21*$C$2,0)</f>
        <v>4611</v>
      </c>
      <c r="D12" s="129">
        <f>IF(D$5&gt;$B$1,0,$B12)+IF(D$5=$B$3,'Emergy Costs'!$I21*$C$2,0)</f>
        <v>4611</v>
      </c>
      <c r="E12" s="129">
        <f>IF(E$5&gt;$B$1,0,$B12)+IF(E$5=$B$3,'Emergy Costs'!$I21*$C$2,0)</f>
        <v>4611</v>
      </c>
      <c r="F12" s="129">
        <f>IF(F$5&gt;$B$1,0,$B12)+IF(F$5=$B$3,'Emergy Costs'!$I21*$C$2,0)</f>
        <v>819761.5209884907</v>
      </c>
      <c r="G12" s="129">
        <f>IF(G$5&gt;$B$1,0,$B12)+IF(G$5=$B$3,'Emergy Costs'!$I21*$C$2,0)</f>
        <v>4611</v>
      </c>
      <c r="H12" s="129">
        <f>IF(H$5&gt;$B$1,0,$B12)+IF(H$5=$B$3,'Emergy Costs'!$I21*$C$2,0)</f>
        <v>4611</v>
      </c>
      <c r="I12" s="129">
        <f>IF(I$5&gt;$B$1,0,$B12)+IF(I$5=$B$3,'Emergy Costs'!$I21*$C$2,0)</f>
        <v>4611</v>
      </c>
      <c r="J12" s="129">
        <f>IF(J$5&gt;$B$1,0,$B12)+IF(J$5=$B$3,'Emergy Costs'!$I21*$C$2,0)</f>
        <v>4611</v>
      </c>
      <c r="K12" s="129">
        <f>IF(K$5&gt;$B$1,0,$B12)+IF(K$5=$B$3,'Emergy Costs'!$I21*$C$2,0)</f>
        <v>4611</v>
      </c>
      <c r="L12" s="129">
        <f>IF(L$5&gt;$B$1,0,$B12)+IF(L$5=$B$3,'Emergy Costs'!$I21*$C$2,0)</f>
        <v>4611</v>
      </c>
      <c r="M12" s="129">
        <f>IF(M$5&gt;$B$1,0,$B12)+IF(M$5=$B$3,'Emergy Costs'!$I21*$C$2,0)</f>
        <v>4611</v>
      </c>
      <c r="N12" s="129">
        <f>IF(N$5&gt;$B$1,0,$B12)+IF(N$5=$B$3,'Emergy Costs'!$I21*$C$2,0)</f>
        <v>4611</v>
      </c>
      <c r="O12" s="129">
        <f>IF(O$5&gt;$B$1,0,$B12)+IF(O$5=$B$3,'Emergy Costs'!$I21*$C$2,0)</f>
        <v>4611</v>
      </c>
      <c r="P12" s="129">
        <f>IF(P$5&gt;$B$1,0,$B12)+IF(P$5=$B$3,'Emergy Costs'!$I21*$C$2,0)</f>
        <v>4611</v>
      </c>
      <c r="Q12" s="129">
        <f>IF(Q$5&gt;$B$1,0,$B12)+IF(Q$5=$B$3,'Emergy Costs'!$I21*$C$2,0)</f>
        <v>4611</v>
      </c>
      <c r="R12" s="129">
        <f>IF(R$5&gt;$B$1,0,$B12)+IF(R$5=$B$3,'Emergy Costs'!$I21*$C$2,0)</f>
        <v>4611</v>
      </c>
      <c r="S12" s="129">
        <f>IF(S$5&gt;$B$1,0,$B12)+IF(S$5=$B$3,'Emergy Costs'!$I21*$C$2,0)</f>
        <v>4611</v>
      </c>
      <c r="T12" s="129">
        <f>IF(T$5&gt;$B$1,0,$B12)+IF(T$5=$B$3,'Emergy Costs'!$I21*$C$2,0)</f>
        <v>4611</v>
      </c>
      <c r="U12" s="129">
        <f>IF(U$5&gt;$B$1,0,$B12)+IF(U$5=$B$3,'Emergy Costs'!$I21*$C$2,0)</f>
        <v>4611</v>
      </c>
      <c r="V12" s="129">
        <f t="shared" si="0"/>
        <v>204214.52098849067</v>
      </c>
      <c r="W12" s="135">
        <f t="shared" si="1"/>
        <v>0.048029026915435764</v>
      </c>
    </row>
    <row r="13" spans="1:23" ht="12.75">
      <c r="A13" s="128">
        <f>-'Emergy Costs'!G22</f>
        <v>-137437</v>
      </c>
      <c r="B13" s="128">
        <f>+'Emergy Costs'!H22</f>
        <v>4121</v>
      </c>
      <c r="C13" s="129">
        <f>IF(C$5&gt;$B$1,0,$B13)+IF(C$5=$B$3,'Emergy Costs'!$I22*$C$2,0)</f>
        <v>4121</v>
      </c>
      <c r="D13" s="129">
        <f>IF(D$5&gt;$B$1,0,$B13)+IF(D$5=$B$3,'Emergy Costs'!$I22*$C$2,0)</f>
        <v>4121</v>
      </c>
      <c r="E13" s="129">
        <f>IF(E$5&gt;$B$1,0,$B13)+IF(E$5=$B$3,'Emergy Costs'!$I22*$C$2,0)</f>
        <v>4121</v>
      </c>
      <c r="F13" s="129">
        <f>IF(F$5&gt;$B$1,0,$B13)+IF(F$5=$B$3,'Emergy Costs'!$I22*$C$2,0)</f>
        <v>163448.15094956907</v>
      </c>
      <c r="G13" s="129">
        <f>IF(G$5&gt;$B$1,0,$B13)+IF(G$5=$B$3,'Emergy Costs'!$I22*$C$2,0)</f>
        <v>4121</v>
      </c>
      <c r="H13" s="129">
        <f>IF(H$5&gt;$B$1,0,$B13)+IF(H$5=$B$3,'Emergy Costs'!$I22*$C$2,0)</f>
        <v>4121</v>
      </c>
      <c r="I13" s="129">
        <f>IF(I$5&gt;$B$1,0,$B13)+IF(I$5=$B$3,'Emergy Costs'!$I22*$C$2,0)</f>
        <v>4121</v>
      </c>
      <c r="J13" s="129">
        <f>IF(J$5&gt;$B$1,0,$B13)+IF(J$5=$B$3,'Emergy Costs'!$I22*$C$2,0)</f>
        <v>4121</v>
      </c>
      <c r="K13" s="129">
        <f>IF(K$5&gt;$B$1,0,$B13)+IF(K$5=$B$3,'Emergy Costs'!$I22*$C$2,0)</f>
        <v>4121</v>
      </c>
      <c r="L13" s="129">
        <f>IF(L$5&gt;$B$1,0,$B13)+IF(L$5=$B$3,'Emergy Costs'!$I22*$C$2,0)</f>
        <v>4121</v>
      </c>
      <c r="M13" s="129">
        <f>IF(M$5&gt;$B$1,0,$B13)+IF(M$5=$B$3,'Emergy Costs'!$I22*$C$2,0)</f>
        <v>4121</v>
      </c>
      <c r="N13" s="129">
        <f>IF(N$5&gt;$B$1,0,$B13)+IF(N$5=$B$3,'Emergy Costs'!$I22*$C$2,0)</f>
        <v>4121</v>
      </c>
      <c r="O13" s="129">
        <f>IF(O$5&gt;$B$1,0,$B13)+IF(O$5=$B$3,'Emergy Costs'!$I22*$C$2,0)</f>
        <v>4121</v>
      </c>
      <c r="P13" s="129">
        <f>IF(P$5&gt;$B$1,0,$B13)+IF(P$5=$B$3,'Emergy Costs'!$I22*$C$2,0)</f>
        <v>4121</v>
      </c>
      <c r="Q13" s="129">
        <f>IF(Q$5&gt;$B$1,0,$B13)+IF(Q$5=$B$3,'Emergy Costs'!$I22*$C$2,0)</f>
        <v>4121</v>
      </c>
      <c r="R13" s="129">
        <f>IF(R$5&gt;$B$1,0,$B13)+IF(R$5=$B$3,'Emergy Costs'!$I22*$C$2,0)</f>
        <v>4121</v>
      </c>
      <c r="S13" s="129">
        <f>IF(S$5&gt;$B$1,0,$B13)+IF(S$5=$B$3,'Emergy Costs'!$I22*$C$2,0)</f>
        <v>4121</v>
      </c>
      <c r="T13" s="129">
        <f>IF(T$5&gt;$B$1,0,$B13)+IF(T$5=$B$3,'Emergy Costs'!$I22*$C$2,0)</f>
        <v>4121</v>
      </c>
      <c r="U13" s="129">
        <f>IF(U$5&gt;$B$1,0,$B13)+IF(U$5=$B$3,'Emergy Costs'!$I22*$C$2,0)</f>
        <v>4121</v>
      </c>
      <c r="V13" s="129">
        <f t="shared" si="0"/>
        <v>104310.15094956907</v>
      </c>
      <c r="W13" s="135">
        <f t="shared" si="1"/>
        <v>0.09512284126905834</v>
      </c>
    </row>
    <row r="14" spans="1:23" ht="12.75">
      <c r="A14" s="128">
        <f>-'Emergy Costs'!G10</f>
        <v>-87391</v>
      </c>
      <c r="B14" s="128">
        <f>+'Emergy Costs'!H10</f>
        <v>2500</v>
      </c>
      <c r="C14" s="129">
        <f>IF(C$5&gt;$B$1,0,$B14)+IF(C$5=$B$3,'Emergy Costs'!$I10*$C$2,0)</f>
        <v>2500</v>
      </c>
      <c r="D14" s="129">
        <f>IF(D$5&gt;$B$1,0,$B14)+IF(D$5=$B$3,'Emergy Costs'!$I10*$C$2,0)</f>
        <v>2500</v>
      </c>
      <c r="E14" s="129">
        <f>IF(E$5&gt;$B$1,0,$B14)+IF(E$5=$B$3,'Emergy Costs'!$I10*$C$2,0)</f>
        <v>2500</v>
      </c>
      <c r="F14" s="129">
        <f>IF(F$5&gt;$B$1,0,$B14)+IF(F$5=$B$3,'Emergy Costs'!$I10*$C$2,0)</f>
        <v>103810.1206271513</v>
      </c>
      <c r="G14" s="129">
        <f>IF(G$5&gt;$B$1,0,$B14)+IF(G$5=$B$3,'Emergy Costs'!$I10*$C$2,0)</f>
        <v>2500</v>
      </c>
      <c r="H14" s="129">
        <f>IF(H$5&gt;$B$1,0,$B14)+IF(H$5=$B$3,'Emergy Costs'!$I10*$C$2,0)</f>
        <v>2500</v>
      </c>
      <c r="I14" s="129">
        <f>IF(I$5&gt;$B$1,0,$B14)+IF(I$5=$B$3,'Emergy Costs'!$I10*$C$2,0)</f>
        <v>2500</v>
      </c>
      <c r="J14" s="129">
        <f>IF(J$5&gt;$B$1,0,$B14)+IF(J$5=$B$3,'Emergy Costs'!$I10*$C$2,0)</f>
        <v>2500</v>
      </c>
      <c r="K14" s="129">
        <f>IF(K$5&gt;$B$1,0,$B14)+IF(K$5=$B$3,'Emergy Costs'!$I10*$C$2,0)</f>
        <v>2500</v>
      </c>
      <c r="L14" s="129">
        <f>IF(L$5&gt;$B$1,0,$B14)+IF(L$5=$B$3,'Emergy Costs'!$I10*$C$2,0)</f>
        <v>2500</v>
      </c>
      <c r="M14" s="129">
        <f>IF(M$5&gt;$B$1,0,$B14)+IF(M$5=$B$3,'Emergy Costs'!$I10*$C$2,0)</f>
        <v>2500</v>
      </c>
      <c r="N14" s="129">
        <f>IF(N$5&gt;$B$1,0,$B14)+IF(N$5=$B$3,'Emergy Costs'!$I10*$C$2,0)</f>
        <v>2500</v>
      </c>
      <c r="O14" s="129">
        <f>IF(O$5&gt;$B$1,0,$B14)+IF(O$5=$B$3,'Emergy Costs'!$I10*$C$2,0)</f>
        <v>2500</v>
      </c>
      <c r="P14" s="129">
        <f>IF(P$5&gt;$B$1,0,$B14)+IF(P$5=$B$3,'Emergy Costs'!$I10*$C$2,0)</f>
        <v>2500</v>
      </c>
      <c r="Q14" s="129">
        <f>IF(Q$5&gt;$B$1,0,$B14)+IF(Q$5=$B$3,'Emergy Costs'!$I10*$C$2,0)</f>
        <v>2500</v>
      </c>
      <c r="R14" s="129">
        <f>IF(R$5&gt;$B$1,0,$B14)+IF(R$5=$B$3,'Emergy Costs'!$I10*$C$2,0)</f>
        <v>2500</v>
      </c>
      <c r="S14" s="129">
        <f>IF(S$5&gt;$B$1,0,$B14)+IF(S$5=$B$3,'Emergy Costs'!$I10*$C$2,0)</f>
        <v>2500</v>
      </c>
      <c r="T14" s="129">
        <f>IF(T$5&gt;$B$1,0,$B14)+IF(T$5=$B$3,'Emergy Costs'!$I10*$C$2,0)</f>
        <v>2500</v>
      </c>
      <c r="U14" s="129">
        <f>IF(U$5&gt;$B$1,0,$B14)+IF(U$5=$B$3,'Emergy Costs'!$I10*$C$2,0)</f>
        <v>2500</v>
      </c>
      <c r="V14" s="129">
        <f t="shared" si="0"/>
        <v>63919.12062715129</v>
      </c>
      <c r="W14" s="135">
        <f t="shared" si="1"/>
        <v>0.09277275601772286</v>
      </c>
    </row>
    <row r="15" spans="1:23" ht="12.75">
      <c r="A15" s="128">
        <f>-'Emergy Costs'!G23</f>
        <v>-168025</v>
      </c>
      <c r="B15" s="128">
        <f>+'Emergy Costs'!H23</f>
        <v>7482</v>
      </c>
      <c r="C15" s="129">
        <f>IF(C$5&gt;$B$1,0,$B15)+IF(C$5=$B$3,'Emergy Costs'!$I23*$C$2,0)</f>
        <v>7482</v>
      </c>
      <c r="D15" s="129">
        <f>IF(D$5&gt;$B$1,0,$B15)+IF(D$5=$B$3,'Emergy Costs'!$I23*$C$2,0)</f>
        <v>7482</v>
      </c>
      <c r="E15" s="129">
        <f>IF(E$5&gt;$B$1,0,$B15)+IF(E$5=$B$3,'Emergy Costs'!$I23*$C$2,0)</f>
        <v>7482</v>
      </c>
      <c r="F15" s="129">
        <f>IF(F$5&gt;$B$1,0,$B15)+IF(F$5=$B$3,'Emergy Costs'!$I23*$C$2,0)</f>
        <v>202269.02633425748</v>
      </c>
      <c r="G15" s="129">
        <f>IF(G$5&gt;$B$1,0,$B15)+IF(G$5=$B$3,'Emergy Costs'!$I23*$C$2,0)</f>
        <v>7482</v>
      </c>
      <c r="H15" s="129">
        <f>IF(H$5&gt;$B$1,0,$B15)+IF(H$5=$B$3,'Emergy Costs'!$I23*$C$2,0)</f>
        <v>7482</v>
      </c>
      <c r="I15" s="129">
        <f>IF(I$5&gt;$B$1,0,$B15)+IF(I$5=$B$3,'Emergy Costs'!$I23*$C$2,0)</f>
        <v>7482</v>
      </c>
      <c r="J15" s="129">
        <f>IF(J$5&gt;$B$1,0,$B15)+IF(J$5=$B$3,'Emergy Costs'!$I23*$C$2,0)</f>
        <v>7482</v>
      </c>
      <c r="K15" s="129">
        <f>IF(K$5&gt;$B$1,0,$B15)+IF(K$5=$B$3,'Emergy Costs'!$I23*$C$2,0)</f>
        <v>7482</v>
      </c>
      <c r="L15" s="129">
        <f>IF(L$5&gt;$B$1,0,$B15)+IF(L$5=$B$3,'Emergy Costs'!$I23*$C$2,0)</f>
        <v>7482</v>
      </c>
      <c r="M15" s="129">
        <f>IF(M$5&gt;$B$1,0,$B15)+IF(M$5=$B$3,'Emergy Costs'!$I23*$C$2,0)</f>
        <v>7482</v>
      </c>
      <c r="N15" s="129">
        <f>IF(N$5&gt;$B$1,0,$B15)+IF(N$5=$B$3,'Emergy Costs'!$I23*$C$2,0)</f>
        <v>7482</v>
      </c>
      <c r="O15" s="129">
        <f>IF(O$5&gt;$B$1,0,$B15)+IF(O$5=$B$3,'Emergy Costs'!$I23*$C$2,0)</f>
        <v>7482</v>
      </c>
      <c r="P15" s="129">
        <f>IF(P$5&gt;$B$1,0,$B15)+IF(P$5=$B$3,'Emergy Costs'!$I23*$C$2,0)</f>
        <v>7482</v>
      </c>
      <c r="Q15" s="129">
        <f>IF(Q$5&gt;$B$1,0,$B15)+IF(Q$5=$B$3,'Emergy Costs'!$I23*$C$2,0)</f>
        <v>7482</v>
      </c>
      <c r="R15" s="129">
        <f>IF(R$5&gt;$B$1,0,$B15)+IF(R$5=$B$3,'Emergy Costs'!$I23*$C$2,0)</f>
        <v>7482</v>
      </c>
      <c r="S15" s="129">
        <f>IF(S$5&gt;$B$1,0,$B15)+IF(S$5=$B$3,'Emergy Costs'!$I23*$C$2,0)</f>
        <v>7482</v>
      </c>
      <c r="T15" s="129">
        <f>IF(T$5&gt;$B$1,0,$B15)+IF(T$5=$B$3,'Emergy Costs'!$I23*$C$2,0)</f>
        <v>7482</v>
      </c>
      <c r="U15" s="129">
        <f>IF(U$5&gt;$B$1,0,$B15)+IF(U$5=$B$3,'Emergy Costs'!$I23*$C$2,0)</f>
        <v>7482</v>
      </c>
      <c r="V15" s="129">
        <f t="shared" si="0"/>
        <v>176402.02633425748</v>
      </c>
      <c r="W15" s="135">
        <f t="shared" si="1"/>
        <v>0.11810388065826678</v>
      </c>
    </row>
    <row r="16" spans="1:23" ht="12.75">
      <c r="A16" s="128">
        <f>-'Emergy Costs'!G24</f>
        <v>-23330</v>
      </c>
      <c r="B16" s="128">
        <f>+'Emergy Costs'!H24</f>
        <v>0</v>
      </c>
      <c r="C16" s="129">
        <f>IF(C$5&gt;$B$1,0,$B16)+IF(C$5=$B$3,'Emergy Costs'!$I24*$C$2,0)</f>
        <v>0</v>
      </c>
      <c r="D16" s="129">
        <f>IF(D$5&gt;$B$1,0,$B16)+IF(D$5=$B$3,'Emergy Costs'!$I24*$C$2,0)</f>
        <v>0</v>
      </c>
      <c r="E16" s="129">
        <f>IF(E$5&gt;$B$1,0,$B16)+IF(E$5=$B$3,'Emergy Costs'!$I24*$C$2,0)</f>
        <v>0</v>
      </c>
      <c r="F16" s="129">
        <f>IF(F$5&gt;$B$1,0,$B16)+IF(F$5=$B$3,'Emergy Costs'!$I24*$C$2,0)</f>
        <v>27045.864153418996</v>
      </c>
      <c r="G16" s="129">
        <f>IF(G$5&gt;$B$1,0,$B16)+IF(G$5=$B$3,'Emergy Costs'!$I24*$C$2,0)</f>
        <v>0</v>
      </c>
      <c r="H16" s="129">
        <f>IF(H$5&gt;$B$1,0,$B16)+IF(H$5=$B$3,'Emergy Costs'!$I24*$C$2,0)</f>
        <v>0</v>
      </c>
      <c r="I16" s="129">
        <f>IF(I$5&gt;$B$1,0,$B16)+IF(I$5=$B$3,'Emergy Costs'!$I24*$C$2,0)</f>
        <v>0</v>
      </c>
      <c r="J16" s="129">
        <f>IF(J$5&gt;$B$1,0,$B16)+IF(J$5=$B$3,'Emergy Costs'!$I24*$C$2,0)</f>
        <v>0</v>
      </c>
      <c r="K16" s="129">
        <f>IF(K$5&gt;$B$1,0,$B16)+IF(K$5=$B$3,'Emergy Costs'!$I24*$C$2,0)</f>
        <v>0</v>
      </c>
      <c r="L16" s="129">
        <f>IF(L$5&gt;$B$1,0,$B16)+IF(L$5=$B$3,'Emergy Costs'!$I24*$C$2,0)</f>
        <v>0</v>
      </c>
      <c r="M16" s="129">
        <f>IF(M$5&gt;$B$1,0,$B16)+IF(M$5=$B$3,'Emergy Costs'!$I24*$C$2,0)</f>
        <v>0</v>
      </c>
      <c r="N16" s="129">
        <f>IF(N$5&gt;$B$1,0,$B16)+IF(N$5=$B$3,'Emergy Costs'!$I24*$C$2,0)</f>
        <v>0</v>
      </c>
      <c r="O16" s="129">
        <f>IF(O$5&gt;$B$1,0,$B16)+IF(O$5=$B$3,'Emergy Costs'!$I24*$C$2,0)</f>
        <v>0</v>
      </c>
      <c r="P16" s="129">
        <f>IF(P$5&gt;$B$1,0,$B16)+IF(P$5=$B$3,'Emergy Costs'!$I24*$C$2,0)</f>
        <v>0</v>
      </c>
      <c r="Q16" s="129">
        <f>IF(Q$5&gt;$B$1,0,$B16)+IF(Q$5=$B$3,'Emergy Costs'!$I24*$C$2,0)</f>
        <v>0</v>
      </c>
      <c r="R16" s="129">
        <f>IF(R$5&gt;$B$1,0,$B16)+IF(R$5=$B$3,'Emergy Costs'!$I24*$C$2,0)</f>
        <v>0</v>
      </c>
      <c r="S16" s="129">
        <f>IF(S$5&gt;$B$1,0,$B16)+IF(S$5=$B$3,'Emergy Costs'!$I24*$C$2,0)</f>
        <v>0</v>
      </c>
      <c r="T16" s="129">
        <f>IF(T$5&gt;$B$1,0,$B16)+IF(T$5=$B$3,'Emergy Costs'!$I24*$C$2,0)</f>
        <v>0</v>
      </c>
      <c r="U16" s="129">
        <f>IF(U$5&gt;$B$1,0,$B16)+IF(U$5=$B$3,'Emergy Costs'!$I24*$C$2,0)</f>
        <v>0</v>
      </c>
      <c r="V16" s="129">
        <f t="shared" si="0"/>
        <v>3715.8641534189956</v>
      </c>
      <c r="W16" s="135">
        <f t="shared" si="1"/>
        <v>0.030000000000001973</v>
      </c>
    </row>
    <row r="17" spans="1:23" ht="12.75">
      <c r="A17" s="128">
        <f>-'Emergy Costs'!G25</f>
        <v>-148819</v>
      </c>
      <c r="B17" s="128">
        <f>+'Emergy Costs'!H25</f>
        <v>189</v>
      </c>
      <c r="C17" s="129">
        <f>IF(C$5&gt;$B$1,0,$B17)+IF(C$5=$B$3,'Emergy Costs'!$I25*$C$2,0)</f>
        <v>189</v>
      </c>
      <c r="D17" s="129">
        <f>IF(D$5&gt;$B$1,0,$B17)+IF(D$5=$B$3,'Emergy Costs'!$I25*$C$2,0)</f>
        <v>189</v>
      </c>
      <c r="E17" s="129">
        <f>IF(E$5&gt;$B$1,0,$B17)+IF(E$5=$B$3,'Emergy Costs'!$I25*$C$2,0)</f>
        <v>189</v>
      </c>
      <c r="F17" s="129">
        <f>IF(F$5&gt;$B$1,0,$B17)+IF(F$5=$B$3,'Emergy Costs'!$I25*$C$2,0)</f>
        <v>172711.00846325167</v>
      </c>
      <c r="G17" s="129">
        <f>IF(G$5&gt;$B$1,0,$B17)+IF(G$5=$B$3,'Emergy Costs'!$I25*$C$2,0)</f>
        <v>189</v>
      </c>
      <c r="H17" s="129">
        <f>IF(H$5&gt;$B$1,0,$B17)+IF(H$5=$B$3,'Emergy Costs'!$I25*$C$2,0)</f>
        <v>189</v>
      </c>
      <c r="I17" s="129">
        <f>IF(I$5&gt;$B$1,0,$B17)+IF(I$5=$B$3,'Emergy Costs'!$I25*$C$2,0)</f>
        <v>189</v>
      </c>
      <c r="J17" s="129">
        <f>IF(J$5&gt;$B$1,0,$B17)+IF(J$5=$B$3,'Emergy Costs'!$I25*$C$2,0)</f>
        <v>189</v>
      </c>
      <c r="K17" s="129">
        <f>IF(K$5&gt;$B$1,0,$B17)+IF(K$5=$B$3,'Emergy Costs'!$I25*$C$2,0)</f>
        <v>189</v>
      </c>
      <c r="L17" s="129">
        <f>IF(L$5&gt;$B$1,0,$B17)+IF(L$5=$B$3,'Emergy Costs'!$I25*$C$2,0)</f>
        <v>189</v>
      </c>
      <c r="M17" s="129">
        <f>IF(M$5&gt;$B$1,0,$B17)+IF(M$5=$B$3,'Emergy Costs'!$I25*$C$2,0)</f>
        <v>189</v>
      </c>
      <c r="N17" s="129">
        <f>IF(N$5&gt;$B$1,0,$B17)+IF(N$5=$B$3,'Emergy Costs'!$I25*$C$2,0)</f>
        <v>189</v>
      </c>
      <c r="O17" s="129">
        <f>IF(O$5&gt;$B$1,0,$B17)+IF(O$5=$B$3,'Emergy Costs'!$I25*$C$2,0)</f>
        <v>189</v>
      </c>
      <c r="P17" s="129">
        <f>IF(P$5&gt;$B$1,0,$B17)+IF(P$5=$B$3,'Emergy Costs'!$I25*$C$2,0)</f>
        <v>189</v>
      </c>
      <c r="Q17" s="129">
        <f>IF(Q$5&gt;$B$1,0,$B17)+IF(Q$5=$B$3,'Emergy Costs'!$I25*$C$2,0)</f>
        <v>189</v>
      </c>
      <c r="R17" s="129">
        <f>IF(R$5&gt;$B$1,0,$B17)+IF(R$5=$B$3,'Emergy Costs'!$I25*$C$2,0)</f>
        <v>189</v>
      </c>
      <c r="S17" s="129">
        <f>IF(S$5&gt;$B$1,0,$B17)+IF(S$5=$B$3,'Emergy Costs'!$I25*$C$2,0)</f>
        <v>189</v>
      </c>
      <c r="T17" s="129">
        <f>IF(T$5&gt;$B$1,0,$B17)+IF(T$5=$B$3,'Emergy Costs'!$I25*$C$2,0)</f>
        <v>189</v>
      </c>
      <c r="U17" s="129">
        <f>IF(U$5&gt;$B$1,0,$B17)+IF(U$5=$B$3,'Emergy Costs'!$I25*$C$2,0)</f>
        <v>189</v>
      </c>
      <c r="V17" s="129">
        <f t="shared" si="0"/>
        <v>27483.008463251666</v>
      </c>
      <c r="W17" s="135">
        <f t="shared" si="1"/>
        <v>0.033800636283524504</v>
      </c>
    </row>
    <row r="18" spans="1:23" ht="12.75">
      <c r="A18" s="128" t="e">
        <f>-'Emergy Costs'!#REF!</f>
        <v>#REF!</v>
      </c>
      <c r="B18" s="128" t="e">
        <f>+'Emergy Costs'!#REF!</f>
        <v>#REF!</v>
      </c>
      <c r="C18" s="129" t="e">
        <f>IF(C$5&gt;$B$1,0,$B18)+IF(C$5=$B$3,'Emergy Costs'!#REF!*$C$2,0)</f>
        <v>#REF!</v>
      </c>
      <c r="D18" s="129" t="e">
        <f>IF(D$5&gt;$B$1,0,$B18)+IF(D$5=$B$3,'Emergy Costs'!#REF!*$C$2,0)</f>
        <v>#REF!</v>
      </c>
      <c r="E18" s="129" t="e">
        <f>IF(E$5&gt;$B$1,0,$B18)+IF(E$5=$B$3,'Emergy Costs'!#REF!*$C$2,0)</f>
        <v>#REF!</v>
      </c>
      <c r="F18" s="129" t="e">
        <f>IF(F$5&gt;$B$1,0,$B18)+IF(F$5=$B$3,'Emergy Costs'!#REF!*$C$2,0)</f>
        <v>#REF!</v>
      </c>
      <c r="G18" s="129" t="e">
        <f>IF(G$5&gt;$B$1,0,$B18)+IF(G$5=$B$3,'Emergy Costs'!#REF!*$C$2,0)</f>
        <v>#REF!</v>
      </c>
      <c r="H18" s="129" t="e">
        <f>IF(H$5&gt;$B$1,0,$B18)+IF(H$5=$B$3,'Emergy Costs'!#REF!*$C$2,0)</f>
        <v>#REF!</v>
      </c>
      <c r="I18" s="129" t="e">
        <f>IF(I$5&gt;$B$1,0,$B18)+IF(I$5=$B$3,'Emergy Costs'!#REF!*$C$2,0)</f>
        <v>#REF!</v>
      </c>
      <c r="J18" s="129" t="e">
        <f>IF(J$5&gt;$B$1,0,$B18)+IF(J$5=$B$3,'Emergy Costs'!#REF!*$C$2,0)</f>
        <v>#REF!</v>
      </c>
      <c r="K18" s="129" t="e">
        <f>IF(K$5&gt;$B$1,0,$B18)+IF(K$5=$B$3,'Emergy Costs'!#REF!*$C$2,0)</f>
        <v>#REF!</v>
      </c>
      <c r="L18" s="129" t="e">
        <f>IF(L$5&gt;$B$1,0,$B18)+IF(L$5=$B$3,'Emergy Costs'!#REF!*$C$2,0)</f>
        <v>#REF!</v>
      </c>
      <c r="M18" s="129" t="e">
        <f>IF(M$5&gt;$B$1,0,$B18)+IF(M$5=$B$3,'Emergy Costs'!#REF!*$C$2,0)</f>
        <v>#REF!</v>
      </c>
      <c r="N18" s="129" t="e">
        <f>IF(N$5&gt;$B$1,0,$B18)+IF(N$5=$B$3,'Emergy Costs'!#REF!*$C$2,0)</f>
        <v>#REF!</v>
      </c>
      <c r="O18" s="129" t="e">
        <f>IF(O$5&gt;$B$1,0,$B18)+IF(O$5=$B$3,'Emergy Costs'!#REF!*$C$2,0)</f>
        <v>#REF!</v>
      </c>
      <c r="P18" s="129" t="e">
        <f>IF(P$5&gt;$B$1,0,$B18)+IF(P$5=$B$3,'Emergy Costs'!#REF!*$C$2,0)</f>
        <v>#REF!</v>
      </c>
      <c r="Q18" s="129" t="e">
        <f>IF(Q$5&gt;$B$1,0,$B18)+IF(Q$5=$B$3,'Emergy Costs'!#REF!*$C$2,0)</f>
        <v>#REF!</v>
      </c>
      <c r="R18" s="129" t="e">
        <f>IF(R$5&gt;$B$1,0,$B18)+IF(R$5=$B$3,'Emergy Costs'!#REF!*$C$2,0)</f>
        <v>#REF!</v>
      </c>
      <c r="S18" s="129" t="e">
        <f>IF(S$5&gt;$B$1,0,$B18)+IF(S$5=$B$3,'Emergy Costs'!#REF!*$C$2,0)</f>
        <v>#REF!</v>
      </c>
      <c r="T18" s="129" t="e">
        <f>IF(T$5&gt;$B$1,0,$B18)+IF(T$5=$B$3,'Emergy Costs'!#REF!*$C$2,0)</f>
        <v>#REF!</v>
      </c>
      <c r="U18" s="129" t="e">
        <f>IF(U$5&gt;$B$1,0,$B18)+IF(U$5=$B$3,'Emergy Costs'!#REF!*$C$2,0)</f>
        <v>#REF!</v>
      </c>
      <c r="V18" s="129" t="e">
        <f t="shared" si="0"/>
        <v>#REF!</v>
      </c>
      <c r="W18" s="135">
        <v>1</v>
      </c>
    </row>
    <row r="19" spans="1:23" ht="12.75">
      <c r="A19" s="128" t="e">
        <f>-'Emergy Costs'!#REF!</f>
        <v>#REF!</v>
      </c>
      <c r="B19" s="128" t="e">
        <f>+'Emergy Costs'!#REF!</f>
        <v>#REF!</v>
      </c>
      <c r="C19" s="129" t="e">
        <f>IF(C$5&gt;$B$1,0,$B19)+IF(C$5=$B$3,'Emergy Costs'!#REF!*$C$2,0)</f>
        <v>#REF!</v>
      </c>
      <c r="D19" s="129" t="e">
        <f>IF(D$5&gt;$B$1,0,$B19)+IF(D$5=$B$3,'Emergy Costs'!#REF!*$C$2,0)</f>
        <v>#REF!</v>
      </c>
      <c r="E19" s="129" t="e">
        <f>IF(E$5&gt;$B$1,0,$B19)+IF(E$5=$B$3,'Emergy Costs'!#REF!*$C$2,0)</f>
        <v>#REF!</v>
      </c>
      <c r="F19" s="129" t="e">
        <f>IF(F$5&gt;$B$1,0,$B19)+IF(F$5=$B$3,'Emergy Costs'!#REF!*$C$2,0)</f>
        <v>#REF!</v>
      </c>
      <c r="G19" s="129" t="e">
        <f>IF(G$5&gt;$B$1,0,$B19)+IF(G$5=$B$3,'Emergy Costs'!#REF!*$C$2,0)</f>
        <v>#REF!</v>
      </c>
      <c r="H19" s="129" t="e">
        <f>IF(H$5&gt;$B$1,0,$B19)+IF(H$5=$B$3,'Emergy Costs'!#REF!*$C$2,0)</f>
        <v>#REF!</v>
      </c>
      <c r="I19" s="129" t="e">
        <f>IF(I$5&gt;$B$1,0,$B19)+IF(I$5=$B$3,'Emergy Costs'!#REF!*$C$2,0)</f>
        <v>#REF!</v>
      </c>
      <c r="J19" s="129" t="e">
        <f>IF(J$5&gt;$B$1,0,$B19)+IF(J$5=$B$3,'Emergy Costs'!#REF!*$C$2,0)</f>
        <v>#REF!</v>
      </c>
      <c r="K19" s="129" t="e">
        <f>IF(K$5&gt;$B$1,0,$B19)+IF(K$5=$B$3,'Emergy Costs'!#REF!*$C$2,0)</f>
        <v>#REF!</v>
      </c>
      <c r="L19" s="129" t="e">
        <f>IF(L$5&gt;$B$1,0,$B19)+IF(L$5=$B$3,'Emergy Costs'!#REF!*$C$2,0)</f>
        <v>#REF!</v>
      </c>
      <c r="M19" s="129" t="e">
        <f>IF(M$5&gt;$B$1,0,$B19)+IF(M$5=$B$3,'Emergy Costs'!#REF!*$C$2,0)</f>
        <v>#REF!</v>
      </c>
      <c r="N19" s="129" t="e">
        <f>IF(N$5&gt;$B$1,0,$B19)+IF(N$5=$B$3,'Emergy Costs'!#REF!*$C$2,0)</f>
        <v>#REF!</v>
      </c>
      <c r="O19" s="129" t="e">
        <f>IF(O$5&gt;$B$1,0,$B19)+IF(O$5=$B$3,'Emergy Costs'!#REF!*$C$2,0)</f>
        <v>#REF!</v>
      </c>
      <c r="P19" s="129" t="e">
        <f>IF(P$5&gt;$B$1,0,$B19)+IF(P$5=$B$3,'Emergy Costs'!#REF!*$C$2,0)</f>
        <v>#REF!</v>
      </c>
      <c r="Q19" s="129" t="e">
        <f>IF(Q$5&gt;$B$1,0,$B19)+IF(Q$5=$B$3,'Emergy Costs'!#REF!*$C$2,0)</f>
        <v>#REF!</v>
      </c>
      <c r="R19" s="129" t="e">
        <f>IF(R$5&gt;$B$1,0,$B19)+IF(R$5=$B$3,'Emergy Costs'!#REF!*$C$2,0)</f>
        <v>#REF!</v>
      </c>
      <c r="S19" s="129" t="e">
        <f>IF(S$5&gt;$B$1,0,$B19)+IF(S$5=$B$3,'Emergy Costs'!#REF!*$C$2,0)</f>
        <v>#REF!</v>
      </c>
      <c r="T19" s="129" t="e">
        <f>IF(T$5&gt;$B$1,0,$B19)+IF(T$5=$B$3,'Emergy Costs'!#REF!*$C$2,0)</f>
        <v>#REF!</v>
      </c>
      <c r="U19" s="129" t="e">
        <f>IF(U$5&gt;$B$1,0,$B19)+IF(U$5=$B$3,'Emergy Costs'!#REF!*$C$2,0)</f>
        <v>#REF!</v>
      </c>
      <c r="V19" s="129" t="e">
        <f t="shared" si="0"/>
        <v>#REF!</v>
      </c>
      <c r="W19" s="135" t="e">
        <f t="shared" si="1"/>
        <v>#VALUE!</v>
      </c>
    </row>
    <row r="20" spans="1:23" ht="12.75">
      <c r="A20" s="128">
        <f>-'Emergy Costs'!G26</f>
        <v>-79143</v>
      </c>
      <c r="B20" s="128">
        <f>+'Emergy Costs'!H26</f>
        <v>1135</v>
      </c>
      <c r="C20" s="129">
        <f>IF(C$5&gt;$B$1,0,$B20)+IF(C$5=$B$3,'Emergy Costs'!$I26*$C$2,0)</f>
        <v>1135</v>
      </c>
      <c r="D20" s="129">
        <f>IF(D$5&gt;$B$1,0,$B20)+IF(D$5=$B$3,'Emergy Costs'!$I26*$C$2,0)</f>
        <v>1135</v>
      </c>
      <c r="E20" s="129">
        <f>IF(E$5&gt;$B$1,0,$B20)+IF(E$5=$B$3,'Emergy Costs'!$I26*$C$2,0)</f>
        <v>1135</v>
      </c>
      <c r="F20" s="129">
        <f>IF(F$5&gt;$B$1,0,$B20)+IF(F$5=$B$3,'Emergy Costs'!$I26*$C$2,0)</f>
        <v>92883.42806232489</v>
      </c>
      <c r="G20" s="129">
        <f>IF(G$5&gt;$B$1,0,$B20)+IF(G$5=$B$3,'Emergy Costs'!$I26*$C$2,0)</f>
        <v>1135</v>
      </c>
      <c r="H20" s="129">
        <f>IF(H$5&gt;$B$1,0,$B20)+IF(H$5=$B$3,'Emergy Costs'!$I26*$C$2,0)</f>
        <v>1135</v>
      </c>
      <c r="I20" s="129">
        <f>IF(I$5&gt;$B$1,0,$B20)+IF(I$5=$B$3,'Emergy Costs'!$I26*$C$2,0)</f>
        <v>1135</v>
      </c>
      <c r="J20" s="129">
        <f>IF(J$5&gt;$B$1,0,$B20)+IF(J$5=$B$3,'Emergy Costs'!$I26*$C$2,0)</f>
        <v>1135</v>
      </c>
      <c r="K20" s="129">
        <f>IF(K$5&gt;$B$1,0,$B20)+IF(K$5=$B$3,'Emergy Costs'!$I26*$C$2,0)</f>
        <v>1135</v>
      </c>
      <c r="L20" s="129">
        <f>IF(L$5&gt;$B$1,0,$B20)+IF(L$5=$B$3,'Emergy Costs'!$I26*$C$2,0)</f>
        <v>1135</v>
      </c>
      <c r="M20" s="129">
        <f>IF(M$5&gt;$B$1,0,$B20)+IF(M$5=$B$3,'Emergy Costs'!$I26*$C$2,0)</f>
        <v>1135</v>
      </c>
      <c r="N20" s="129">
        <f>IF(N$5&gt;$B$1,0,$B20)+IF(N$5=$B$3,'Emergy Costs'!$I26*$C$2,0)</f>
        <v>1135</v>
      </c>
      <c r="O20" s="129">
        <f>IF(O$5&gt;$B$1,0,$B20)+IF(O$5=$B$3,'Emergy Costs'!$I26*$C$2,0)</f>
        <v>1135</v>
      </c>
      <c r="P20" s="129">
        <f>IF(P$5&gt;$B$1,0,$B20)+IF(P$5=$B$3,'Emergy Costs'!$I26*$C$2,0)</f>
        <v>1135</v>
      </c>
      <c r="Q20" s="129">
        <f>IF(Q$5&gt;$B$1,0,$B20)+IF(Q$5=$B$3,'Emergy Costs'!$I26*$C$2,0)</f>
        <v>1135</v>
      </c>
      <c r="R20" s="129">
        <f>IF(R$5&gt;$B$1,0,$B20)+IF(R$5=$B$3,'Emergy Costs'!$I26*$C$2,0)</f>
        <v>1135</v>
      </c>
      <c r="S20" s="129">
        <f>IF(S$5&gt;$B$1,0,$B20)+IF(S$5=$B$3,'Emergy Costs'!$I26*$C$2,0)</f>
        <v>1135</v>
      </c>
      <c r="T20" s="129">
        <f>IF(T$5&gt;$B$1,0,$B20)+IF(T$5=$B$3,'Emergy Costs'!$I26*$C$2,0)</f>
        <v>1135</v>
      </c>
      <c r="U20" s="129">
        <f>IF(U$5&gt;$B$1,0,$B20)+IF(U$5=$B$3,'Emergy Costs'!$I26*$C$2,0)</f>
        <v>1135</v>
      </c>
      <c r="V20" s="129">
        <f t="shared" si="0"/>
        <v>35305.42806232489</v>
      </c>
      <c r="W20" s="135">
        <f t="shared" si="1"/>
        <v>0.06579610116171375</v>
      </c>
    </row>
    <row r="21" spans="1:23" ht="12.75">
      <c r="A21" s="128">
        <f>-'Emergy Costs'!G27</f>
        <v>-122068</v>
      </c>
      <c r="B21" s="128">
        <f>+'Emergy Costs'!H27</f>
        <v>1444</v>
      </c>
      <c r="C21" s="129">
        <f>IF(C$5&gt;$B$1,0,$B21)+IF(C$5=$B$3,'Emergy Costs'!$I27*$C$2,0)</f>
        <v>1444</v>
      </c>
      <c r="D21" s="129">
        <f>IF(D$5&gt;$B$1,0,$B21)+IF(D$5=$B$3,'Emergy Costs'!$I27*$C$2,0)</f>
        <v>1444</v>
      </c>
      <c r="E21" s="129">
        <f>IF(E$5&gt;$B$1,0,$B21)+IF(E$5=$B$3,'Emergy Costs'!$I27*$C$2,0)</f>
        <v>1444</v>
      </c>
      <c r="F21" s="129">
        <f>IF(F$5&gt;$B$1,0,$B21)+IF(F$5=$B$3,'Emergy Costs'!$I27*$C$2,0)</f>
        <v>142954.26770165237</v>
      </c>
      <c r="G21" s="129">
        <f>IF(G$5&gt;$B$1,0,$B21)+IF(G$5=$B$3,'Emergy Costs'!$I27*$C$2,0)</f>
        <v>1444</v>
      </c>
      <c r="H21" s="129">
        <f>IF(H$5&gt;$B$1,0,$B21)+IF(H$5=$B$3,'Emergy Costs'!$I27*$C$2,0)</f>
        <v>1444</v>
      </c>
      <c r="I21" s="129">
        <f>IF(I$5&gt;$B$1,0,$B21)+IF(I$5=$B$3,'Emergy Costs'!$I27*$C$2,0)</f>
        <v>1444</v>
      </c>
      <c r="J21" s="129">
        <f>IF(J$5&gt;$B$1,0,$B21)+IF(J$5=$B$3,'Emergy Costs'!$I27*$C$2,0)</f>
        <v>1444</v>
      </c>
      <c r="K21" s="129">
        <f>IF(K$5&gt;$B$1,0,$B21)+IF(K$5=$B$3,'Emergy Costs'!$I27*$C$2,0)</f>
        <v>1444</v>
      </c>
      <c r="L21" s="129">
        <f>IF(L$5&gt;$B$1,0,$B21)+IF(L$5=$B$3,'Emergy Costs'!$I27*$C$2,0)</f>
        <v>1444</v>
      </c>
      <c r="M21" s="129">
        <f>IF(M$5&gt;$B$1,0,$B21)+IF(M$5=$B$3,'Emergy Costs'!$I27*$C$2,0)</f>
        <v>1444</v>
      </c>
      <c r="N21" s="129">
        <f>IF(N$5&gt;$B$1,0,$B21)+IF(N$5=$B$3,'Emergy Costs'!$I27*$C$2,0)</f>
        <v>1444</v>
      </c>
      <c r="O21" s="129">
        <f>IF(O$5&gt;$B$1,0,$B21)+IF(O$5=$B$3,'Emergy Costs'!$I27*$C$2,0)</f>
        <v>1444</v>
      </c>
      <c r="P21" s="129">
        <f>IF(P$5&gt;$B$1,0,$B21)+IF(P$5=$B$3,'Emergy Costs'!$I27*$C$2,0)</f>
        <v>1444</v>
      </c>
      <c r="Q21" s="129">
        <f>IF(Q$5&gt;$B$1,0,$B21)+IF(Q$5=$B$3,'Emergy Costs'!$I27*$C$2,0)</f>
        <v>1444</v>
      </c>
      <c r="R21" s="129">
        <f>IF(R$5&gt;$B$1,0,$B21)+IF(R$5=$B$3,'Emergy Costs'!$I27*$C$2,0)</f>
        <v>1444</v>
      </c>
      <c r="S21" s="129">
        <f>IF(S$5&gt;$B$1,0,$B21)+IF(S$5=$B$3,'Emergy Costs'!$I27*$C$2,0)</f>
        <v>1444</v>
      </c>
      <c r="T21" s="129">
        <f>IF(T$5&gt;$B$1,0,$B21)+IF(T$5=$B$3,'Emergy Costs'!$I27*$C$2,0)</f>
        <v>1444</v>
      </c>
      <c r="U21" s="129">
        <f>IF(U$5&gt;$B$1,0,$B21)+IF(U$5=$B$3,'Emergy Costs'!$I27*$C$2,0)</f>
        <v>1444</v>
      </c>
      <c r="V21" s="129">
        <f t="shared" si="0"/>
        <v>48322.26770165237</v>
      </c>
      <c r="W21" s="135">
        <f t="shared" si="1"/>
        <v>0.06037835194401443</v>
      </c>
    </row>
    <row r="22" spans="1:23" ht="12.75">
      <c r="A22" s="128">
        <f>-'Emergy Costs'!G28</f>
        <v>-10319</v>
      </c>
      <c r="B22" s="128">
        <f>+'Emergy Costs'!H28</f>
        <v>1500</v>
      </c>
      <c r="C22" s="129">
        <f>IF(C$5&gt;$B$1,0,$B22)+IF(C$5=$B$3,'Emergy Costs'!$I28*$C$2,0)</f>
        <v>1500</v>
      </c>
      <c r="D22" s="129">
        <f>IF(D$5&gt;$B$1,0,$B22)+IF(D$5=$B$3,'Emergy Costs'!$I28*$C$2,0)</f>
        <v>1500</v>
      </c>
      <c r="E22" s="129">
        <f>IF(E$5&gt;$B$1,0,$B22)+IF(E$5=$B$3,'Emergy Costs'!$I28*$C$2,0)</f>
        <v>1500</v>
      </c>
      <c r="F22" s="129">
        <f>IF(F$5&gt;$B$1,0,$B22)+IF(F$5=$B$3,'Emergy Costs'!$I28*$C$2,0)</f>
        <v>13462.549172701698</v>
      </c>
      <c r="G22" s="129">
        <f>IF(G$5&gt;$B$1,0,$B22)+IF(G$5=$B$3,'Emergy Costs'!$I28*$C$2,0)</f>
        <v>1500</v>
      </c>
      <c r="H22" s="129">
        <f>IF(H$5&gt;$B$1,0,$B22)+IF(H$5=$B$3,'Emergy Costs'!$I28*$C$2,0)</f>
        <v>1500</v>
      </c>
      <c r="I22" s="129">
        <f>IF(I$5&gt;$B$1,0,$B22)+IF(I$5=$B$3,'Emergy Costs'!$I28*$C$2,0)</f>
        <v>1500</v>
      </c>
      <c r="J22" s="129">
        <f>IF(J$5&gt;$B$1,0,$B22)+IF(J$5=$B$3,'Emergy Costs'!$I28*$C$2,0)</f>
        <v>1500</v>
      </c>
      <c r="K22" s="129">
        <f>IF(K$5&gt;$B$1,0,$B22)+IF(K$5=$B$3,'Emergy Costs'!$I28*$C$2,0)</f>
        <v>1500</v>
      </c>
      <c r="L22" s="129">
        <f>IF(L$5&gt;$B$1,0,$B22)+IF(L$5=$B$3,'Emergy Costs'!$I28*$C$2,0)</f>
        <v>1500</v>
      </c>
      <c r="M22" s="129">
        <f>IF(M$5&gt;$B$1,0,$B22)+IF(M$5=$B$3,'Emergy Costs'!$I28*$C$2,0)</f>
        <v>1500</v>
      </c>
      <c r="N22" s="129">
        <f>IF(N$5&gt;$B$1,0,$B22)+IF(N$5=$B$3,'Emergy Costs'!$I28*$C$2,0)</f>
        <v>1500</v>
      </c>
      <c r="O22" s="129">
        <f>IF(O$5&gt;$B$1,0,$B22)+IF(O$5=$B$3,'Emergy Costs'!$I28*$C$2,0)</f>
        <v>1500</v>
      </c>
      <c r="P22" s="129">
        <f>IF(P$5&gt;$B$1,0,$B22)+IF(P$5=$B$3,'Emergy Costs'!$I28*$C$2,0)</f>
        <v>1500</v>
      </c>
      <c r="Q22" s="129">
        <f>IF(Q$5&gt;$B$1,0,$B22)+IF(Q$5=$B$3,'Emergy Costs'!$I28*$C$2,0)</f>
        <v>1500</v>
      </c>
      <c r="R22" s="129">
        <f>IF(R$5&gt;$B$1,0,$B22)+IF(R$5=$B$3,'Emergy Costs'!$I28*$C$2,0)</f>
        <v>1500</v>
      </c>
      <c r="S22" s="129">
        <f>IF(S$5&gt;$B$1,0,$B22)+IF(S$5=$B$3,'Emergy Costs'!$I28*$C$2,0)</f>
        <v>1500</v>
      </c>
      <c r="T22" s="129">
        <f>IF(T$5&gt;$B$1,0,$B22)+IF(T$5=$B$3,'Emergy Costs'!$I28*$C$2,0)</f>
        <v>1500</v>
      </c>
      <c r="U22" s="129">
        <f>IF(U$5&gt;$B$1,0,$B22)+IF(U$5=$B$3,'Emergy Costs'!$I28*$C$2,0)</f>
        <v>1500</v>
      </c>
      <c r="V22" s="129">
        <f t="shared" si="0"/>
        <v>31643.5491727017</v>
      </c>
      <c r="W22" s="135">
        <f t="shared" si="1"/>
        <v>0.23821760062497718</v>
      </c>
    </row>
    <row r="23" spans="1:23" ht="12.75">
      <c r="A23" s="128">
        <f>-'Emergy Costs'!G29</f>
        <v>-487758</v>
      </c>
      <c r="B23" s="128">
        <f>+'Emergy Costs'!H29</f>
        <v>23047</v>
      </c>
      <c r="C23" s="129">
        <f>IF(C$5&gt;$B$1,0,$B23)+IF(C$5=$B$3,'Emergy Costs'!$I29*$C$2,0)</f>
        <v>23047</v>
      </c>
      <c r="D23" s="129">
        <f>IF(D$5&gt;$B$1,0,$B23)+IF(D$5=$B$3,'Emergy Costs'!$I29*$C$2,0)</f>
        <v>23047</v>
      </c>
      <c r="E23" s="129">
        <f>IF(E$5&gt;$B$1,0,$B23)+IF(E$5=$B$3,'Emergy Costs'!$I29*$C$2,0)</f>
        <v>23047</v>
      </c>
      <c r="F23" s="129">
        <f>IF(F$5&gt;$B$1,0,$B23)+IF(F$5=$B$3,'Emergy Costs'!$I29*$C$2,0)</f>
        <v>588492.2039324193</v>
      </c>
      <c r="G23" s="129">
        <f>IF(G$5&gt;$B$1,0,$B23)+IF(G$5=$B$3,'Emergy Costs'!$I29*$C$2,0)</f>
        <v>23047</v>
      </c>
      <c r="H23" s="129">
        <f>IF(H$5&gt;$B$1,0,$B23)+IF(H$5=$B$3,'Emergy Costs'!$I29*$C$2,0)</f>
        <v>23047</v>
      </c>
      <c r="I23" s="129">
        <f>IF(I$5&gt;$B$1,0,$B23)+IF(I$5=$B$3,'Emergy Costs'!$I29*$C$2,0)</f>
        <v>23047</v>
      </c>
      <c r="J23" s="129">
        <f>IF(J$5&gt;$B$1,0,$B23)+IF(J$5=$B$3,'Emergy Costs'!$I29*$C$2,0)</f>
        <v>23047</v>
      </c>
      <c r="K23" s="129">
        <f>IF(K$5&gt;$B$1,0,$B23)+IF(K$5=$B$3,'Emergy Costs'!$I29*$C$2,0)</f>
        <v>23047</v>
      </c>
      <c r="L23" s="129">
        <f>IF(L$5&gt;$B$1,0,$B23)+IF(L$5=$B$3,'Emergy Costs'!$I29*$C$2,0)</f>
        <v>23047</v>
      </c>
      <c r="M23" s="129">
        <f>IF(M$5&gt;$B$1,0,$B23)+IF(M$5=$B$3,'Emergy Costs'!$I29*$C$2,0)</f>
        <v>23047</v>
      </c>
      <c r="N23" s="129">
        <f>IF(N$5&gt;$B$1,0,$B23)+IF(N$5=$B$3,'Emergy Costs'!$I29*$C$2,0)</f>
        <v>23047</v>
      </c>
      <c r="O23" s="129">
        <f>IF(O$5&gt;$B$1,0,$B23)+IF(O$5=$B$3,'Emergy Costs'!$I29*$C$2,0)</f>
        <v>23047</v>
      </c>
      <c r="P23" s="129">
        <f>IF(P$5&gt;$B$1,0,$B23)+IF(P$5=$B$3,'Emergy Costs'!$I29*$C$2,0)</f>
        <v>23047</v>
      </c>
      <c r="Q23" s="129">
        <f>IF(Q$5&gt;$B$1,0,$B23)+IF(Q$5=$B$3,'Emergy Costs'!$I29*$C$2,0)</f>
        <v>23047</v>
      </c>
      <c r="R23" s="129">
        <f>IF(R$5&gt;$B$1,0,$B23)+IF(R$5=$B$3,'Emergy Costs'!$I29*$C$2,0)</f>
        <v>23047</v>
      </c>
      <c r="S23" s="129">
        <f>IF(S$5&gt;$B$1,0,$B23)+IF(S$5=$B$3,'Emergy Costs'!$I29*$C$2,0)</f>
        <v>23047</v>
      </c>
      <c r="T23" s="129">
        <f>IF(T$5&gt;$B$1,0,$B23)+IF(T$5=$B$3,'Emergy Costs'!$I29*$C$2,0)</f>
        <v>23047</v>
      </c>
      <c r="U23" s="129">
        <f>IF(U$5&gt;$B$1,0,$B23)+IF(U$5=$B$3,'Emergy Costs'!$I29*$C$2,0)</f>
        <v>23047</v>
      </c>
      <c r="V23" s="129">
        <f t="shared" si="0"/>
        <v>538627.2039324193</v>
      </c>
      <c r="W23" s="135">
        <f t="shared" si="1"/>
        <v>0.12210271255923388</v>
      </c>
    </row>
    <row r="24" spans="1:23" ht="12.75">
      <c r="A24" s="128">
        <f>-'Emergy Costs'!G34</f>
        <v>-436295</v>
      </c>
      <c r="B24" s="128">
        <f>+'Emergy Costs'!H34</f>
        <v>8619</v>
      </c>
      <c r="C24" s="129">
        <f>IF(C$5&gt;$B$1,0,$B24)+IF(C$5=$B$3,'Emergy Costs'!$I34*$C$2,0)</f>
        <v>8619</v>
      </c>
      <c r="D24" s="129">
        <f>IF(D$5&gt;$B$1,0,$B24)+IF(D$5=$B$3,'Emergy Costs'!$I34*$C$2,0)</f>
        <v>8619</v>
      </c>
      <c r="E24" s="129">
        <f>IF(E$5&gt;$B$1,0,$B24)+IF(E$5=$B$3,'Emergy Costs'!$I34*$C$2,0)</f>
        <v>8619</v>
      </c>
      <c r="F24" s="129">
        <f>IF(F$5&gt;$B$1,0,$B24)+IF(F$5=$B$3,'Emergy Costs'!$I34*$C$2,0)</f>
        <v>124546.40742999998</v>
      </c>
      <c r="G24" s="129">
        <f>IF(G$5&gt;$B$1,0,$B24)+IF(G$5=$B$3,'Emergy Costs'!$I34*$C$2,0)</f>
        <v>8619</v>
      </c>
      <c r="H24" s="129">
        <f>IF(H$5&gt;$B$1,0,$B24)+IF(H$5=$B$3,'Emergy Costs'!$I34*$C$2,0)</f>
        <v>8619</v>
      </c>
      <c r="I24" s="129">
        <f>IF(I$5&gt;$B$1,0,$B24)+IF(I$5=$B$3,'Emergy Costs'!$I34*$C$2,0)</f>
        <v>8619</v>
      </c>
      <c r="J24" s="129">
        <f>IF(J$5&gt;$B$1,0,$B24)+IF(J$5=$B$3,'Emergy Costs'!$I34*$C$2,0)</f>
        <v>8619</v>
      </c>
      <c r="K24" s="129">
        <f>IF(K$5&gt;$B$1,0,$B24)+IF(K$5=$B$3,'Emergy Costs'!$I34*$C$2,0)</f>
        <v>8619</v>
      </c>
      <c r="L24" s="129">
        <f>IF(L$5&gt;$B$1,0,$B24)+IF(L$5=$B$3,'Emergy Costs'!$I34*$C$2,0)</f>
        <v>8619</v>
      </c>
      <c r="M24" s="129">
        <f>IF(M$5&gt;$B$1,0,$B24)+IF(M$5=$B$3,'Emergy Costs'!$I34*$C$2,0)</f>
        <v>8619</v>
      </c>
      <c r="N24" s="129">
        <f>IF(N$5&gt;$B$1,0,$B24)+IF(N$5=$B$3,'Emergy Costs'!$I34*$C$2,0)</f>
        <v>8619</v>
      </c>
      <c r="O24" s="129">
        <f>IF(O$5&gt;$B$1,0,$B24)+IF(O$5=$B$3,'Emergy Costs'!$I34*$C$2,0)</f>
        <v>8619</v>
      </c>
      <c r="P24" s="129">
        <f>IF(P$5&gt;$B$1,0,$B24)+IF(P$5=$B$3,'Emergy Costs'!$I34*$C$2,0)</f>
        <v>8619</v>
      </c>
      <c r="Q24" s="129">
        <f>IF(Q$5&gt;$B$1,0,$B24)+IF(Q$5=$B$3,'Emergy Costs'!$I34*$C$2,0)</f>
        <v>8619</v>
      </c>
      <c r="R24" s="129">
        <f>IF(R$5&gt;$B$1,0,$B24)+IF(R$5=$B$3,'Emergy Costs'!$I34*$C$2,0)</f>
        <v>8619</v>
      </c>
      <c r="S24" s="129">
        <f>IF(S$5&gt;$B$1,0,$B24)+IF(S$5=$B$3,'Emergy Costs'!$I34*$C$2,0)</f>
        <v>8619</v>
      </c>
      <c r="T24" s="129">
        <f>IF(T$5&gt;$B$1,0,$B24)+IF(T$5=$B$3,'Emergy Costs'!$I34*$C$2,0)</f>
        <v>8619</v>
      </c>
      <c r="U24" s="129">
        <f>IF(U$5&gt;$B$1,0,$B24)+IF(U$5=$B$3,'Emergy Costs'!$I34*$C$2,0)</f>
        <v>8619</v>
      </c>
      <c r="V24" s="129">
        <f t="shared" si="0"/>
        <v>-147987.59257000004</v>
      </c>
      <c r="W24" s="135">
        <f>IRR(A24:U24,0.1)</f>
        <v>-0.045193777824738976</v>
      </c>
    </row>
    <row r="25" spans="1:23" ht="12.75">
      <c r="A25" s="128">
        <f>-'Emergy Costs'!G43</f>
        <v>-193481</v>
      </c>
      <c r="B25" s="128">
        <f>+'Emergy Costs'!H43</f>
        <v>4521</v>
      </c>
      <c r="C25" s="129">
        <f>IF(C$5&gt;$B$1,0,$B25)+IF(C$5=$B$3,'Emergy Costs'!$I43*$C$2,0)</f>
        <v>4521</v>
      </c>
      <c r="D25" s="129">
        <f>IF(D$5&gt;$B$1,0,$B25)+IF(D$5=$B$3,'Emergy Costs'!$I43*$C$2,0)</f>
        <v>4521</v>
      </c>
      <c r="E25" s="129">
        <f>IF(E$5&gt;$B$1,0,$B25)+IF(E$5=$B$3,'Emergy Costs'!$I43*$C$2,0)</f>
        <v>4521</v>
      </c>
      <c r="F25" s="129">
        <f>IF(F$5&gt;$B$1,0,$B25)+IF(F$5=$B$3,'Emergy Costs'!$I43*$C$2,0)</f>
        <v>228818.50716963827</v>
      </c>
      <c r="G25" s="129">
        <f>IF(G$5&gt;$B$1,0,$B25)+IF(G$5=$B$3,'Emergy Costs'!$I43*$C$2,0)</f>
        <v>4521</v>
      </c>
      <c r="H25" s="129">
        <f>IF(H$5&gt;$B$1,0,$B25)+IF(H$5=$B$3,'Emergy Costs'!$I43*$C$2,0)</f>
        <v>4521</v>
      </c>
      <c r="I25" s="129">
        <f>IF(I$5&gt;$B$1,0,$B25)+IF(I$5=$B$3,'Emergy Costs'!$I43*$C$2,0)</f>
        <v>4521</v>
      </c>
      <c r="J25" s="129">
        <f>IF(J$5&gt;$B$1,0,$B25)+IF(J$5=$B$3,'Emergy Costs'!$I43*$C$2,0)</f>
        <v>4521</v>
      </c>
      <c r="K25" s="129">
        <f>IF(K$5&gt;$B$1,0,$B25)+IF(K$5=$B$3,'Emergy Costs'!$I43*$C$2,0)</f>
        <v>4521</v>
      </c>
      <c r="L25" s="129">
        <f>IF(L$5&gt;$B$1,0,$B25)+IF(L$5=$B$3,'Emergy Costs'!$I43*$C$2,0)</f>
        <v>4521</v>
      </c>
      <c r="M25" s="129">
        <f>IF(M$5&gt;$B$1,0,$B25)+IF(M$5=$B$3,'Emergy Costs'!$I43*$C$2,0)</f>
        <v>4521</v>
      </c>
      <c r="N25" s="129">
        <f>IF(N$5&gt;$B$1,0,$B25)+IF(N$5=$B$3,'Emergy Costs'!$I43*$C$2,0)</f>
        <v>4521</v>
      </c>
      <c r="O25" s="129">
        <f>IF(O$5&gt;$B$1,0,$B25)+IF(O$5=$B$3,'Emergy Costs'!$I43*$C$2,0)</f>
        <v>4521</v>
      </c>
      <c r="P25" s="129">
        <f>IF(P$5&gt;$B$1,0,$B25)+IF(P$5=$B$3,'Emergy Costs'!$I43*$C$2,0)</f>
        <v>4521</v>
      </c>
      <c r="Q25" s="129">
        <f>IF(Q$5&gt;$B$1,0,$B25)+IF(Q$5=$B$3,'Emergy Costs'!$I43*$C$2,0)</f>
        <v>4521</v>
      </c>
      <c r="R25" s="129">
        <f>IF(R$5&gt;$B$1,0,$B25)+IF(R$5=$B$3,'Emergy Costs'!$I43*$C$2,0)</f>
        <v>4521</v>
      </c>
      <c r="S25" s="129">
        <f>IF(S$5&gt;$B$1,0,$B25)+IF(S$5=$B$3,'Emergy Costs'!$I43*$C$2,0)</f>
        <v>4521</v>
      </c>
      <c r="T25" s="129">
        <f>IF(T$5&gt;$B$1,0,$B25)+IF(T$5=$B$3,'Emergy Costs'!$I43*$C$2,0)</f>
        <v>4521</v>
      </c>
      <c r="U25" s="129">
        <f>IF(U$5&gt;$B$1,0,$B25)+IF(U$5=$B$3,'Emergy Costs'!$I43*$C$2,0)</f>
        <v>4521</v>
      </c>
      <c r="V25" s="129">
        <f t="shared" si="0"/>
        <v>121236.50716963827</v>
      </c>
      <c r="W25" s="135">
        <f t="shared" si="1"/>
        <v>0.08347783469019028</v>
      </c>
    </row>
    <row r="26" spans="1:23" ht="12.75">
      <c r="A26" s="128">
        <f>-'Emergy Costs'!G31</f>
        <v>-500000</v>
      </c>
      <c r="B26" s="128">
        <f>+'Emergy Costs'!H31</f>
        <v>0</v>
      </c>
      <c r="C26" s="129">
        <f>IF(C$5&gt;$B$1,0,$B26)+IF(C$5=$B$3,'Emergy Costs'!$I31*$C$2,0)</f>
        <v>0</v>
      </c>
      <c r="D26" s="129">
        <f>IF(D$5&gt;$B$1,0,$B26)+IF(D$5=$B$3,'Emergy Costs'!$I31*$C$2,0)</f>
        <v>0</v>
      </c>
      <c r="E26" s="129">
        <f>IF(E$5&gt;$B$1,0,$B26)+IF(E$5=$B$3,'Emergy Costs'!$I31*$C$2,0)</f>
        <v>0</v>
      </c>
      <c r="F26" s="129">
        <f>IF(F$5&gt;$B$1,0,$B26)+IF(F$5=$B$3,'Emergy Costs'!$I31*$C$2,0)</f>
        <v>0</v>
      </c>
      <c r="G26" s="129">
        <f>IF(G$5&gt;$B$1,0,$B26)+IF(G$5=$B$3,'Emergy Costs'!$I31*$C$2,0)</f>
        <v>0</v>
      </c>
      <c r="H26" s="129">
        <f>IF(H$5&gt;$B$1,0,$B26)+IF(H$5=$B$3,'Emergy Costs'!$I31*$C$2,0)</f>
        <v>0</v>
      </c>
      <c r="I26" s="129">
        <f>IF(I$5&gt;$B$1,0,$B26)+IF(I$5=$B$3,'Emergy Costs'!$I31*$C$2,0)</f>
        <v>0</v>
      </c>
      <c r="J26" s="129">
        <f>IF(J$5&gt;$B$1,0,$B26)+IF(J$5=$B$3,'Emergy Costs'!$I31*$C$2,0)</f>
        <v>0</v>
      </c>
      <c r="K26" s="129">
        <f>IF(K$5&gt;$B$1,0,$B26)+IF(K$5=$B$3,'Emergy Costs'!$I31*$C$2,0)</f>
        <v>0</v>
      </c>
      <c r="L26" s="129">
        <f>IF(L$5&gt;$B$1,0,$B26)+IF(L$5=$B$3,'Emergy Costs'!$I31*$C$2,0)</f>
        <v>0</v>
      </c>
      <c r="M26" s="129">
        <f>IF(M$5&gt;$B$1,0,$B26)+IF(M$5=$B$3,'Emergy Costs'!$I31*$C$2,0)</f>
        <v>0</v>
      </c>
      <c r="N26" s="129">
        <f>IF(N$5&gt;$B$1,0,$B26)+IF(N$5=$B$3,'Emergy Costs'!$I31*$C$2,0)</f>
        <v>0</v>
      </c>
      <c r="O26" s="129">
        <f>IF(O$5&gt;$B$1,0,$B26)+IF(O$5=$B$3,'Emergy Costs'!$I31*$C$2,0)</f>
        <v>0</v>
      </c>
      <c r="P26" s="129">
        <f>IF(P$5&gt;$B$1,0,$B26)+IF(P$5=$B$3,'Emergy Costs'!$I31*$C$2,0)</f>
        <v>0</v>
      </c>
      <c r="Q26" s="129">
        <f>IF(Q$5&gt;$B$1,0,$B26)+IF(Q$5=$B$3,'Emergy Costs'!$I31*$C$2,0)</f>
        <v>0</v>
      </c>
      <c r="R26" s="129">
        <f>IF(R$5&gt;$B$1,0,$B26)+IF(R$5=$B$3,'Emergy Costs'!$I31*$C$2,0)</f>
        <v>0</v>
      </c>
      <c r="S26" s="129">
        <f>IF(S$5&gt;$B$1,0,$B26)+IF(S$5=$B$3,'Emergy Costs'!$I31*$C$2,0)</f>
        <v>0</v>
      </c>
      <c r="T26" s="129">
        <f>IF(T$5&gt;$B$1,0,$B26)+IF(T$5=$B$3,'Emergy Costs'!$I31*$C$2,0)</f>
        <v>0</v>
      </c>
      <c r="U26" s="129">
        <f>IF(U$5&gt;$B$1,0,$B26)+IF(U$5=$B$3,'Emergy Costs'!$I31*$C$2,0)</f>
        <v>0</v>
      </c>
      <c r="V26" s="129">
        <f t="shared" si="0"/>
        <v>-500000</v>
      </c>
      <c r="W26" s="135" t="e">
        <f t="shared" si="1"/>
        <v>#NUM!</v>
      </c>
    </row>
    <row r="27" spans="1:23" ht="12.75">
      <c r="A27" s="128">
        <f>-'Emergy Costs'!G44</f>
        <v>-76010</v>
      </c>
      <c r="B27" s="128">
        <f>+'Emergy Costs'!H44</f>
        <v>1115</v>
      </c>
      <c r="C27" s="129">
        <f>IF(C$5&gt;$B$1,0,$B27)+IF(C$5=$B$3,'Emergy Costs'!$I44*$C$2,0)</f>
        <v>1115</v>
      </c>
      <c r="D27" s="129">
        <f>IF(D$5&gt;$B$1,0,$B27)+IF(D$5=$B$3,'Emergy Costs'!$I44*$C$2,0)</f>
        <v>1115</v>
      </c>
      <c r="E27" s="129">
        <f>IF(E$5&gt;$B$1,0,$B27)+IF(E$5=$B$3,'Emergy Costs'!$I44*$C$2,0)</f>
        <v>1115</v>
      </c>
      <c r="F27" s="129">
        <f>IF(F$5&gt;$B$1,0,$B27)+IF(F$5=$B$3,'Emergy Costs'!$I44*$C$2,0)</f>
        <v>89231.42238754299</v>
      </c>
      <c r="G27" s="129">
        <f>IF(G$5&gt;$B$1,0,$B27)+IF(G$5=$B$3,'Emergy Costs'!$I44*$C$2,0)</f>
        <v>1115</v>
      </c>
      <c r="H27" s="129">
        <f>IF(H$5&gt;$B$1,0,$B27)+IF(H$5=$B$3,'Emergy Costs'!$I44*$C$2,0)</f>
        <v>1115</v>
      </c>
      <c r="I27" s="129">
        <f>IF(I$5&gt;$B$1,0,$B27)+IF(I$5=$B$3,'Emergy Costs'!$I44*$C$2,0)</f>
        <v>1115</v>
      </c>
      <c r="J27" s="129">
        <f>IF(J$5&gt;$B$1,0,$B27)+IF(J$5=$B$3,'Emergy Costs'!$I44*$C$2,0)</f>
        <v>1115</v>
      </c>
      <c r="K27" s="129">
        <f>IF(K$5&gt;$B$1,0,$B27)+IF(K$5=$B$3,'Emergy Costs'!$I44*$C$2,0)</f>
        <v>1115</v>
      </c>
      <c r="L27" s="129">
        <f>IF(L$5&gt;$B$1,0,$B27)+IF(L$5=$B$3,'Emergy Costs'!$I44*$C$2,0)</f>
        <v>1115</v>
      </c>
      <c r="M27" s="129">
        <f>IF(M$5&gt;$B$1,0,$B27)+IF(M$5=$B$3,'Emergy Costs'!$I44*$C$2,0)</f>
        <v>1115</v>
      </c>
      <c r="N27" s="129">
        <f>IF(N$5&gt;$B$1,0,$B27)+IF(N$5=$B$3,'Emergy Costs'!$I44*$C$2,0)</f>
        <v>1115</v>
      </c>
      <c r="O27" s="129">
        <f>IF(O$5&gt;$B$1,0,$B27)+IF(O$5=$B$3,'Emergy Costs'!$I44*$C$2,0)</f>
        <v>1115</v>
      </c>
      <c r="P27" s="129">
        <f>IF(P$5&gt;$B$1,0,$B27)+IF(P$5=$B$3,'Emergy Costs'!$I44*$C$2,0)</f>
        <v>1115</v>
      </c>
      <c r="Q27" s="129">
        <f>IF(Q$5&gt;$B$1,0,$B27)+IF(Q$5=$B$3,'Emergy Costs'!$I44*$C$2,0)</f>
        <v>1115</v>
      </c>
      <c r="R27" s="129">
        <f>IF(R$5&gt;$B$1,0,$B27)+IF(R$5=$B$3,'Emergy Costs'!$I44*$C$2,0)</f>
        <v>1115</v>
      </c>
      <c r="S27" s="129">
        <f>IF(S$5&gt;$B$1,0,$B27)+IF(S$5=$B$3,'Emergy Costs'!$I44*$C$2,0)</f>
        <v>1115</v>
      </c>
      <c r="T27" s="129">
        <f>IF(T$5&gt;$B$1,0,$B27)+IF(T$5=$B$3,'Emergy Costs'!$I44*$C$2,0)</f>
        <v>1115</v>
      </c>
      <c r="U27" s="129">
        <f>IF(U$5&gt;$B$1,0,$B27)+IF(U$5=$B$3,'Emergy Costs'!$I44*$C$2,0)</f>
        <v>1115</v>
      </c>
      <c r="V27" s="129">
        <f t="shared" si="0"/>
        <v>34406.42238754299</v>
      </c>
      <c r="W27" s="135">
        <f t="shared" si="1"/>
        <v>0.0664849966118064</v>
      </c>
    </row>
    <row r="28" spans="1:23" ht="12.75">
      <c r="A28" s="128">
        <f>-'Emergy Costs'!G45</f>
        <v>-55719</v>
      </c>
      <c r="B28" s="128">
        <f>+'Emergy Costs'!H45</f>
        <v>1464</v>
      </c>
      <c r="C28" s="129">
        <f>IF(C$5&gt;$B$1,0,$B28)+IF(C$5=$B$3,'Emergy Costs'!$I45*$C$2,0)</f>
        <v>1464</v>
      </c>
      <c r="D28" s="129">
        <f>IF(D$5&gt;$B$1,0,$B28)+IF(D$5=$B$3,'Emergy Costs'!$I45*$C$2,0)</f>
        <v>1464</v>
      </c>
      <c r="E28" s="129">
        <f>IF(E$5&gt;$B$1,0,$B28)+IF(E$5=$B$3,'Emergy Costs'!$I45*$C$2,0)</f>
        <v>1464</v>
      </c>
      <c r="F28" s="129">
        <f>IF(F$5&gt;$B$1,0,$B28)+IF(F$5=$B$3,'Emergy Costs'!$I45*$C$2,0)</f>
        <v>66057.59214592169</v>
      </c>
      <c r="G28" s="129">
        <f>IF(G$5&gt;$B$1,0,$B28)+IF(G$5=$B$3,'Emergy Costs'!$I45*$C$2,0)</f>
        <v>1464</v>
      </c>
      <c r="H28" s="129">
        <f>IF(H$5&gt;$B$1,0,$B28)+IF(H$5=$B$3,'Emergy Costs'!$I45*$C$2,0)</f>
        <v>1464</v>
      </c>
      <c r="I28" s="129">
        <f>IF(I$5&gt;$B$1,0,$B28)+IF(I$5=$B$3,'Emergy Costs'!$I45*$C$2,0)</f>
        <v>1464</v>
      </c>
      <c r="J28" s="129">
        <f>IF(J$5&gt;$B$1,0,$B28)+IF(J$5=$B$3,'Emergy Costs'!$I45*$C$2,0)</f>
        <v>1464</v>
      </c>
      <c r="K28" s="129">
        <f>IF(K$5&gt;$B$1,0,$B28)+IF(K$5=$B$3,'Emergy Costs'!$I45*$C$2,0)</f>
        <v>1464</v>
      </c>
      <c r="L28" s="129">
        <f>IF(L$5&gt;$B$1,0,$B28)+IF(L$5=$B$3,'Emergy Costs'!$I45*$C$2,0)</f>
        <v>1464</v>
      </c>
      <c r="M28" s="129">
        <f>IF(M$5&gt;$B$1,0,$B28)+IF(M$5=$B$3,'Emergy Costs'!$I45*$C$2,0)</f>
        <v>1464</v>
      </c>
      <c r="N28" s="129">
        <f>IF(N$5&gt;$B$1,0,$B28)+IF(N$5=$B$3,'Emergy Costs'!$I45*$C$2,0)</f>
        <v>1464</v>
      </c>
      <c r="O28" s="129">
        <f>IF(O$5&gt;$B$1,0,$B28)+IF(O$5=$B$3,'Emergy Costs'!$I45*$C$2,0)</f>
        <v>1464</v>
      </c>
      <c r="P28" s="129">
        <f>IF(P$5&gt;$B$1,0,$B28)+IF(P$5=$B$3,'Emergy Costs'!$I45*$C$2,0)</f>
        <v>1464</v>
      </c>
      <c r="Q28" s="129">
        <f>IF(Q$5&gt;$B$1,0,$B28)+IF(Q$5=$B$3,'Emergy Costs'!$I45*$C$2,0)</f>
        <v>1464</v>
      </c>
      <c r="R28" s="129">
        <f>IF(R$5&gt;$B$1,0,$B28)+IF(R$5=$B$3,'Emergy Costs'!$I45*$C$2,0)</f>
        <v>1464</v>
      </c>
      <c r="S28" s="129">
        <f>IF(S$5&gt;$B$1,0,$B28)+IF(S$5=$B$3,'Emergy Costs'!$I45*$C$2,0)</f>
        <v>1464</v>
      </c>
      <c r="T28" s="129">
        <f>IF(T$5&gt;$B$1,0,$B28)+IF(T$5=$B$3,'Emergy Costs'!$I45*$C$2,0)</f>
        <v>1464</v>
      </c>
      <c r="U28" s="129">
        <f>IF(U$5&gt;$B$1,0,$B28)+IF(U$5=$B$3,'Emergy Costs'!$I45*$C$2,0)</f>
        <v>1464</v>
      </c>
      <c r="V28" s="129">
        <f t="shared" si="0"/>
        <v>38154.59214592169</v>
      </c>
      <c r="W28" s="135">
        <f t="shared" si="1"/>
        <v>0.0887088494891711</v>
      </c>
    </row>
    <row r="29" spans="1:23" ht="12.75">
      <c r="A29" s="128">
        <f>-'Emergy Costs'!G46</f>
        <v>-10334</v>
      </c>
      <c r="B29" s="128">
        <f>+'Emergy Costs'!H46</f>
        <v>5244</v>
      </c>
      <c r="C29" s="129">
        <f>IF(C$5&gt;$B$1,0,$B29)+IF(C$5=$B$3,'Emergy Costs'!$I46*$C$2,0)</f>
        <v>5244</v>
      </c>
      <c r="D29" s="129">
        <f>IF(D$5&gt;$B$1,0,$B29)+IF(D$5=$B$3,'Emergy Costs'!$I46*$C$2,0)</f>
        <v>5244</v>
      </c>
      <c r="E29" s="129">
        <f>IF(E$5&gt;$B$1,0,$B29)+IF(E$5=$B$3,'Emergy Costs'!$I46*$C$2,0)</f>
        <v>5244</v>
      </c>
      <c r="F29" s="129">
        <f>IF(F$5&gt;$B$1,0,$B29)+IF(F$5=$B$3,'Emergy Costs'!$I46*$C$2,0)</f>
        <v>5244</v>
      </c>
      <c r="G29" s="129">
        <f>IF(G$5&gt;$B$1,0,$B29)+IF(G$5=$B$3,'Emergy Costs'!$I46*$C$2,0)</f>
        <v>5244</v>
      </c>
      <c r="H29" s="129">
        <f>IF(H$5&gt;$B$1,0,$B29)+IF(H$5=$B$3,'Emergy Costs'!$I46*$C$2,0)</f>
        <v>5244</v>
      </c>
      <c r="I29" s="129">
        <f>IF(I$5&gt;$B$1,0,$B29)+IF(I$5=$B$3,'Emergy Costs'!$I46*$C$2,0)</f>
        <v>5244</v>
      </c>
      <c r="J29" s="129">
        <f>IF(J$5&gt;$B$1,0,$B29)+IF(J$5=$B$3,'Emergy Costs'!$I46*$C$2,0)</f>
        <v>5244</v>
      </c>
      <c r="K29" s="129">
        <f>IF(K$5&gt;$B$1,0,$B29)+IF(K$5=$B$3,'Emergy Costs'!$I46*$C$2,0)</f>
        <v>5244</v>
      </c>
      <c r="L29" s="129">
        <f>IF(L$5&gt;$B$1,0,$B29)+IF(L$5=$B$3,'Emergy Costs'!$I46*$C$2,0)</f>
        <v>5244</v>
      </c>
      <c r="M29" s="129">
        <f>IF(M$5&gt;$B$1,0,$B29)+IF(M$5=$B$3,'Emergy Costs'!$I46*$C$2,0)</f>
        <v>5244</v>
      </c>
      <c r="N29" s="129">
        <f>IF(N$5&gt;$B$1,0,$B29)+IF(N$5=$B$3,'Emergy Costs'!$I46*$C$2,0)</f>
        <v>5244</v>
      </c>
      <c r="O29" s="129">
        <f>IF(O$5&gt;$B$1,0,$B29)+IF(O$5=$B$3,'Emergy Costs'!$I46*$C$2,0)</f>
        <v>5244</v>
      </c>
      <c r="P29" s="129">
        <f>IF(P$5&gt;$B$1,0,$B29)+IF(P$5=$B$3,'Emergy Costs'!$I46*$C$2,0)</f>
        <v>5244</v>
      </c>
      <c r="Q29" s="129">
        <f>IF(Q$5&gt;$B$1,0,$B29)+IF(Q$5=$B$3,'Emergy Costs'!$I46*$C$2,0)</f>
        <v>5244</v>
      </c>
      <c r="R29" s="129">
        <f>IF(R$5&gt;$B$1,0,$B29)+IF(R$5=$B$3,'Emergy Costs'!$I46*$C$2,0)</f>
        <v>5244</v>
      </c>
      <c r="S29" s="129">
        <f>IF(S$5&gt;$B$1,0,$B29)+IF(S$5=$B$3,'Emergy Costs'!$I46*$C$2,0)</f>
        <v>5244</v>
      </c>
      <c r="T29" s="129">
        <f>IF(T$5&gt;$B$1,0,$B29)+IF(T$5=$B$3,'Emergy Costs'!$I46*$C$2,0)</f>
        <v>5244</v>
      </c>
      <c r="U29" s="129">
        <f>IF(U$5&gt;$B$1,0,$B29)+IF(U$5=$B$3,'Emergy Costs'!$I46*$C$2,0)</f>
        <v>5244</v>
      </c>
      <c r="V29" s="129">
        <f t="shared" si="0"/>
        <v>94546</v>
      </c>
      <c r="W29" s="135">
        <f t="shared" si="1"/>
        <v>0.5073126712574867</v>
      </c>
    </row>
    <row r="30" spans="1:23" ht="12.75">
      <c r="A30" s="128">
        <f>-'Emergy Costs'!G47</f>
        <v>-6231</v>
      </c>
      <c r="B30" s="128">
        <f>+'Emergy Costs'!H47</f>
        <v>2000</v>
      </c>
      <c r="C30" s="129">
        <f>IF(C$5&gt;$B$1,0,$B30)+IF(C$5=$B$3,'Emergy Costs'!$I47*$C$2,0)</f>
        <v>2000</v>
      </c>
      <c r="D30" s="129">
        <f>IF(D$5&gt;$B$1,0,$B30)+IF(D$5=$B$3,'Emergy Costs'!$I47*$C$2,0)</f>
        <v>2000</v>
      </c>
      <c r="E30" s="129">
        <f>IF(E$5&gt;$B$1,0,$B30)+IF(E$5=$B$3,'Emergy Costs'!$I47*$C$2,0)</f>
        <v>2000</v>
      </c>
      <c r="F30" s="129">
        <f>IF(F$5&gt;$B$1,0,$B30)+IF(F$5=$B$3,'Emergy Costs'!$I47*$C$2,0)</f>
        <v>9223.4367569633</v>
      </c>
      <c r="G30" s="129">
        <f>IF(G$5&gt;$B$1,0,$B30)+IF(G$5=$B$3,'Emergy Costs'!$I47*$C$2,0)</f>
        <v>2000</v>
      </c>
      <c r="H30" s="129">
        <f>IF(H$5&gt;$B$1,0,$B30)+IF(H$5=$B$3,'Emergy Costs'!$I47*$C$2,0)</f>
        <v>2000</v>
      </c>
      <c r="I30" s="129">
        <f>IF(I$5&gt;$B$1,0,$B30)+IF(I$5=$B$3,'Emergy Costs'!$I47*$C$2,0)</f>
        <v>2000</v>
      </c>
      <c r="J30" s="129">
        <f>IF(J$5&gt;$B$1,0,$B30)+IF(J$5=$B$3,'Emergy Costs'!$I47*$C$2,0)</f>
        <v>2000</v>
      </c>
      <c r="K30" s="129">
        <f>IF(K$5&gt;$B$1,0,$B30)+IF(K$5=$B$3,'Emergy Costs'!$I47*$C$2,0)</f>
        <v>2000</v>
      </c>
      <c r="L30" s="129">
        <f>IF(L$5&gt;$B$1,0,$B30)+IF(L$5=$B$3,'Emergy Costs'!$I47*$C$2,0)</f>
        <v>2000</v>
      </c>
      <c r="M30" s="129">
        <f>IF(M$5&gt;$B$1,0,$B30)+IF(M$5=$B$3,'Emergy Costs'!$I47*$C$2,0)</f>
        <v>2000</v>
      </c>
      <c r="N30" s="129">
        <f>IF(N$5&gt;$B$1,0,$B30)+IF(N$5=$B$3,'Emergy Costs'!$I47*$C$2,0)</f>
        <v>2000</v>
      </c>
      <c r="O30" s="129">
        <f>IF(O$5&gt;$B$1,0,$B30)+IF(O$5=$B$3,'Emergy Costs'!$I47*$C$2,0)</f>
        <v>2000</v>
      </c>
      <c r="P30" s="129">
        <f>IF(P$5&gt;$B$1,0,$B30)+IF(P$5=$B$3,'Emergy Costs'!$I47*$C$2,0)</f>
        <v>2000</v>
      </c>
      <c r="Q30" s="129">
        <f>IF(Q$5&gt;$B$1,0,$B30)+IF(Q$5=$B$3,'Emergy Costs'!$I47*$C$2,0)</f>
        <v>2000</v>
      </c>
      <c r="R30" s="129">
        <f>IF(R$5&gt;$B$1,0,$B30)+IF(R$5=$B$3,'Emergy Costs'!$I47*$C$2,0)</f>
        <v>2000</v>
      </c>
      <c r="S30" s="129">
        <f>IF(S$5&gt;$B$1,0,$B30)+IF(S$5=$B$3,'Emergy Costs'!$I47*$C$2,0)</f>
        <v>2000</v>
      </c>
      <c r="T30" s="129">
        <f>IF(T$5&gt;$B$1,0,$B30)+IF(T$5=$B$3,'Emergy Costs'!$I47*$C$2,0)</f>
        <v>2000</v>
      </c>
      <c r="U30" s="129">
        <f>IF(U$5&gt;$B$1,0,$B30)+IF(U$5=$B$3,'Emergy Costs'!$I47*$C$2,0)</f>
        <v>2000</v>
      </c>
      <c r="V30" s="129">
        <f t="shared" si="0"/>
        <v>40992.4367569633</v>
      </c>
      <c r="W30" s="135">
        <f t="shared" si="1"/>
        <v>0.40626184481124944</v>
      </c>
    </row>
    <row r="31" spans="1:23" ht="12.75">
      <c r="A31" s="128">
        <f>-'Emergy Costs'!G48</f>
        <v>-15643</v>
      </c>
      <c r="B31" s="128">
        <f>+'Emergy Costs'!H48</f>
        <v>2000</v>
      </c>
      <c r="C31" s="129">
        <f>IF(C$5&gt;$B$1,0,$B31)+IF(C$5=$B$3,'Emergy Costs'!$I48*$C$2,0)</f>
        <v>2000</v>
      </c>
      <c r="D31" s="129">
        <f>IF(D$5&gt;$B$1,0,$B31)+IF(D$5=$B$3,'Emergy Costs'!$I48*$C$2,0)</f>
        <v>2000</v>
      </c>
      <c r="E31" s="129">
        <f>IF(E$5&gt;$B$1,0,$B31)+IF(E$5=$B$3,'Emergy Costs'!$I48*$C$2,0)</f>
        <v>2000</v>
      </c>
      <c r="F31" s="129">
        <f>IF(F$5&gt;$B$1,0,$B31)+IF(F$5=$B$3,'Emergy Costs'!$I48*$C$2,0)</f>
        <v>20134.524344274898</v>
      </c>
      <c r="G31" s="129">
        <f>IF(G$5&gt;$B$1,0,$B31)+IF(G$5=$B$3,'Emergy Costs'!$I48*$C$2,0)</f>
        <v>2000</v>
      </c>
      <c r="H31" s="129">
        <f>IF(H$5&gt;$B$1,0,$B31)+IF(H$5=$B$3,'Emergy Costs'!$I48*$C$2,0)</f>
        <v>2000</v>
      </c>
      <c r="I31" s="129">
        <f>IF(I$5&gt;$B$1,0,$B31)+IF(I$5=$B$3,'Emergy Costs'!$I48*$C$2,0)</f>
        <v>2000</v>
      </c>
      <c r="J31" s="129">
        <f>IF(J$5&gt;$B$1,0,$B31)+IF(J$5=$B$3,'Emergy Costs'!$I48*$C$2,0)</f>
        <v>2000</v>
      </c>
      <c r="K31" s="129">
        <f>IF(K$5&gt;$B$1,0,$B31)+IF(K$5=$B$3,'Emergy Costs'!$I48*$C$2,0)</f>
        <v>2000</v>
      </c>
      <c r="L31" s="129">
        <f>IF(L$5&gt;$B$1,0,$B31)+IF(L$5=$B$3,'Emergy Costs'!$I48*$C$2,0)</f>
        <v>2000</v>
      </c>
      <c r="M31" s="129">
        <f>IF(M$5&gt;$B$1,0,$B31)+IF(M$5=$B$3,'Emergy Costs'!$I48*$C$2,0)</f>
        <v>2000</v>
      </c>
      <c r="N31" s="129">
        <f>IF(N$5&gt;$B$1,0,$B31)+IF(N$5=$B$3,'Emergy Costs'!$I48*$C$2,0)</f>
        <v>2000</v>
      </c>
      <c r="O31" s="129">
        <f>IF(O$5&gt;$B$1,0,$B31)+IF(O$5=$B$3,'Emergy Costs'!$I48*$C$2,0)</f>
        <v>2000</v>
      </c>
      <c r="P31" s="129">
        <f>IF(P$5&gt;$B$1,0,$B31)+IF(P$5=$B$3,'Emergy Costs'!$I48*$C$2,0)</f>
        <v>2000</v>
      </c>
      <c r="Q31" s="129">
        <f>IF(Q$5&gt;$B$1,0,$B31)+IF(Q$5=$B$3,'Emergy Costs'!$I48*$C$2,0)</f>
        <v>2000</v>
      </c>
      <c r="R31" s="129">
        <f>IF(R$5&gt;$B$1,0,$B31)+IF(R$5=$B$3,'Emergy Costs'!$I48*$C$2,0)</f>
        <v>2000</v>
      </c>
      <c r="S31" s="129">
        <f>IF(S$5&gt;$B$1,0,$B31)+IF(S$5=$B$3,'Emergy Costs'!$I48*$C$2,0)</f>
        <v>2000</v>
      </c>
      <c r="T31" s="129">
        <f>IF(T$5&gt;$B$1,0,$B31)+IF(T$5=$B$3,'Emergy Costs'!$I48*$C$2,0)</f>
        <v>2000</v>
      </c>
      <c r="U31" s="129">
        <f>IF(U$5&gt;$B$1,0,$B31)+IF(U$5=$B$3,'Emergy Costs'!$I48*$C$2,0)</f>
        <v>2000</v>
      </c>
      <c r="V31" s="129">
        <f t="shared" si="0"/>
        <v>42491.5243442749</v>
      </c>
      <c r="W31" s="135">
        <f t="shared" si="1"/>
        <v>0.21980538768219712</v>
      </c>
    </row>
    <row r="32" spans="1:23" ht="12.75">
      <c r="A32" s="128">
        <f>-'Emergy Costs'!G49</f>
        <v>-144786</v>
      </c>
      <c r="B32" s="128">
        <f>+'Emergy Costs'!H49</f>
        <v>2069</v>
      </c>
      <c r="C32" s="129">
        <f>IF(C$5&gt;$B$1,0,$B32)+IF(C$5=$B$3,'Emergy Costs'!$I49*$C$2,0)</f>
        <v>2069</v>
      </c>
      <c r="D32" s="129">
        <f>IF(D$5&gt;$B$1,0,$B32)+IF(D$5=$B$3,'Emergy Costs'!$I49*$C$2,0)</f>
        <v>2069</v>
      </c>
      <c r="E32" s="129">
        <f>IF(E$5&gt;$B$1,0,$B32)+IF(E$5=$B$3,'Emergy Costs'!$I49*$C$2,0)</f>
        <v>2069</v>
      </c>
      <c r="F32" s="129">
        <f>IF(F$5&gt;$B$1,0,$B32)+IF(F$5=$B$3,'Emergy Costs'!$I49*$C$2,0)</f>
        <v>2069</v>
      </c>
      <c r="G32" s="129">
        <f>IF(G$5&gt;$B$1,0,$B32)+IF(G$5=$B$3,'Emergy Costs'!$I49*$C$2,0)</f>
        <v>2069</v>
      </c>
      <c r="H32" s="129">
        <f>IF(H$5&gt;$B$1,0,$B32)+IF(H$5=$B$3,'Emergy Costs'!$I49*$C$2,0)</f>
        <v>2069</v>
      </c>
      <c r="I32" s="129">
        <f>IF(I$5&gt;$B$1,0,$B32)+IF(I$5=$B$3,'Emergy Costs'!$I49*$C$2,0)</f>
        <v>2069</v>
      </c>
      <c r="J32" s="129">
        <f>IF(J$5&gt;$B$1,0,$B32)+IF(J$5=$B$3,'Emergy Costs'!$I49*$C$2,0)</f>
        <v>2069</v>
      </c>
      <c r="K32" s="129">
        <f>IF(K$5&gt;$B$1,0,$B32)+IF(K$5=$B$3,'Emergy Costs'!$I49*$C$2,0)</f>
        <v>2069</v>
      </c>
      <c r="L32" s="129">
        <f>IF(L$5&gt;$B$1,0,$B32)+IF(L$5=$B$3,'Emergy Costs'!$I49*$C$2,0)</f>
        <v>2069</v>
      </c>
      <c r="M32" s="129">
        <f>IF(M$5&gt;$B$1,0,$B32)+IF(M$5=$B$3,'Emergy Costs'!$I49*$C$2,0)</f>
        <v>2069</v>
      </c>
      <c r="N32" s="129">
        <f>IF(N$5&gt;$B$1,0,$B32)+IF(N$5=$B$3,'Emergy Costs'!$I49*$C$2,0)</f>
        <v>2069</v>
      </c>
      <c r="O32" s="129">
        <f>IF(O$5&gt;$B$1,0,$B32)+IF(O$5=$B$3,'Emergy Costs'!$I49*$C$2,0)</f>
        <v>2069</v>
      </c>
      <c r="P32" s="129">
        <f>IF(P$5&gt;$B$1,0,$B32)+IF(P$5=$B$3,'Emergy Costs'!$I49*$C$2,0)</f>
        <v>2069</v>
      </c>
      <c r="Q32" s="129">
        <f>IF(Q$5&gt;$B$1,0,$B32)+IF(Q$5=$B$3,'Emergy Costs'!$I49*$C$2,0)</f>
        <v>2069</v>
      </c>
      <c r="R32" s="129">
        <f>IF(R$5&gt;$B$1,0,$B32)+IF(R$5=$B$3,'Emergy Costs'!$I49*$C$2,0)</f>
        <v>2069</v>
      </c>
      <c r="S32" s="129">
        <f>IF(S$5&gt;$B$1,0,$B32)+IF(S$5=$B$3,'Emergy Costs'!$I49*$C$2,0)</f>
        <v>2069</v>
      </c>
      <c r="T32" s="129">
        <f>IF(T$5&gt;$B$1,0,$B32)+IF(T$5=$B$3,'Emergy Costs'!$I49*$C$2,0)</f>
        <v>2069</v>
      </c>
      <c r="U32" s="129">
        <f>IF(U$5&gt;$B$1,0,$B32)+IF(U$5=$B$3,'Emergy Costs'!$I49*$C$2,0)</f>
        <v>2069</v>
      </c>
      <c r="V32" s="129">
        <f t="shared" si="0"/>
        <v>-103406</v>
      </c>
      <c r="W32" s="250">
        <f>IRR(A32:U32,-0.1)</f>
        <v>-0.09790244884888163</v>
      </c>
    </row>
    <row r="33" spans="1:23" ht="12.75">
      <c r="A33" s="128">
        <f>-'Emergy Costs'!G50</f>
        <v>-20833</v>
      </c>
      <c r="B33" s="128">
        <f>+'Emergy Costs'!H50</f>
        <v>2500</v>
      </c>
      <c r="C33" s="129">
        <f>IF(C$5&gt;$B$1,0,$B33)+IF(C$5=$B$3,'Emergy Costs'!$I50*$C$2,0)</f>
        <v>2500</v>
      </c>
      <c r="D33" s="129">
        <f>IF(D$5&gt;$B$1,0,$B33)+IF(D$5=$B$3,'Emergy Costs'!$I50*$C$2,0)</f>
        <v>2500</v>
      </c>
      <c r="E33" s="129">
        <f>IF(E$5&gt;$B$1,0,$B33)+IF(E$5=$B$3,'Emergy Costs'!$I50*$C$2,0)</f>
        <v>2500</v>
      </c>
      <c r="F33" s="129">
        <f>IF(F$5&gt;$B$1,0,$B33)+IF(F$5=$B$3,'Emergy Costs'!$I50*$C$2,0)</f>
        <v>26651.1567898919</v>
      </c>
      <c r="G33" s="129">
        <f>IF(G$5&gt;$B$1,0,$B33)+IF(G$5=$B$3,'Emergy Costs'!$I50*$C$2,0)</f>
        <v>2500</v>
      </c>
      <c r="H33" s="129">
        <f>IF(H$5&gt;$B$1,0,$B33)+IF(H$5=$B$3,'Emergy Costs'!$I50*$C$2,0)</f>
        <v>2500</v>
      </c>
      <c r="I33" s="129">
        <f>IF(I$5&gt;$B$1,0,$B33)+IF(I$5=$B$3,'Emergy Costs'!$I50*$C$2,0)</f>
        <v>2500</v>
      </c>
      <c r="J33" s="129">
        <f>IF(J$5&gt;$B$1,0,$B33)+IF(J$5=$B$3,'Emergy Costs'!$I50*$C$2,0)</f>
        <v>2500</v>
      </c>
      <c r="K33" s="129">
        <f>IF(K$5&gt;$B$1,0,$B33)+IF(K$5=$B$3,'Emergy Costs'!$I50*$C$2,0)</f>
        <v>2500</v>
      </c>
      <c r="L33" s="129">
        <f>IF(L$5&gt;$B$1,0,$B33)+IF(L$5=$B$3,'Emergy Costs'!$I50*$C$2,0)</f>
        <v>2500</v>
      </c>
      <c r="M33" s="129">
        <f>IF(M$5&gt;$B$1,0,$B33)+IF(M$5=$B$3,'Emergy Costs'!$I50*$C$2,0)</f>
        <v>2500</v>
      </c>
      <c r="N33" s="129">
        <f>IF(N$5&gt;$B$1,0,$B33)+IF(N$5=$B$3,'Emergy Costs'!$I50*$C$2,0)</f>
        <v>2500</v>
      </c>
      <c r="O33" s="129">
        <f>IF(O$5&gt;$B$1,0,$B33)+IF(O$5=$B$3,'Emergy Costs'!$I50*$C$2,0)</f>
        <v>2500</v>
      </c>
      <c r="P33" s="129">
        <f>IF(P$5&gt;$B$1,0,$B33)+IF(P$5=$B$3,'Emergy Costs'!$I50*$C$2,0)</f>
        <v>2500</v>
      </c>
      <c r="Q33" s="129">
        <f>IF(Q$5&gt;$B$1,0,$B33)+IF(Q$5=$B$3,'Emergy Costs'!$I50*$C$2,0)</f>
        <v>2500</v>
      </c>
      <c r="R33" s="129">
        <f>IF(R$5&gt;$B$1,0,$B33)+IF(R$5=$B$3,'Emergy Costs'!$I50*$C$2,0)</f>
        <v>2500</v>
      </c>
      <c r="S33" s="129">
        <f>IF(S$5&gt;$B$1,0,$B33)+IF(S$5=$B$3,'Emergy Costs'!$I50*$C$2,0)</f>
        <v>2500</v>
      </c>
      <c r="T33" s="129">
        <f>IF(T$5&gt;$B$1,0,$B33)+IF(T$5=$B$3,'Emergy Costs'!$I50*$C$2,0)</f>
        <v>2500</v>
      </c>
      <c r="U33" s="129">
        <f>IF(U$5&gt;$B$1,0,$B33)+IF(U$5=$B$3,'Emergy Costs'!$I50*$C$2,0)</f>
        <v>2500</v>
      </c>
      <c r="V33" s="129">
        <f t="shared" si="0"/>
        <v>53318.1567898919</v>
      </c>
      <c r="W33" s="135">
        <f t="shared" si="1"/>
        <v>0.21134635052261277</v>
      </c>
    </row>
    <row r="34" spans="1:23" ht="12.75">
      <c r="A34" s="128">
        <f>-'Emergy Costs'!G33</f>
        <v>-5075</v>
      </c>
      <c r="B34" s="128">
        <f>+'Emergy Costs'!H33</f>
        <v>543</v>
      </c>
      <c r="C34" s="129">
        <f>IF(C$5&gt;$B$1,0,$B34)+IF(C$5=$B$3,'Emergy Costs'!$I33*$C$2,0)</f>
        <v>543</v>
      </c>
      <c r="D34" s="129">
        <f>IF(D$5&gt;$B$1,0,$B34)+IF(D$5=$B$3,'Emergy Costs'!$I33*$C$2,0)</f>
        <v>543</v>
      </c>
      <c r="E34" s="129">
        <f>IF(E$5&gt;$B$1,0,$B34)+IF(E$5=$B$3,'Emergy Costs'!$I33*$C$2,0)</f>
        <v>543</v>
      </c>
      <c r="F34" s="129">
        <f>IF(F$5&gt;$B$1,0,$B34)+IF(F$5=$B$3,'Emergy Costs'!$I33*$C$2,0)</f>
        <v>6426.315927072499</v>
      </c>
      <c r="G34" s="129">
        <f>IF(G$5&gt;$B$1,0,$B34)+IF(G$5=$B$3,'Emergy Costs'!$I33*$C$2,0)</f>
        <v>543</v>
      </c>
      <c r="H34" s="129">
        <f>IF(H$5&gt;$B$1,0,$B34)+IF(H$5=$B$3,'Emergy Costs'!$I33*$C$2,0)</f>
        <v>543</v>
      </c>
      <c r="I34" s="129">
        <f>IF(I$5&gt;$B$1,0,$B34)+IF(I$5=$B$3,'Emergy Costs'!$I33*$C$2,0)</f>
        <v>543</v>
      </c>
      <c r="J34" s="129">
        <f>IF(J$5&gt;$B$1,0,$B34)+IF(J$5=$B$3,'Emergy Costs'!$I33*$C$2,0)</f>
        <v>543</v>
      </c>
      <c r="K34" s="129">
        <f>IF(K$5&gt;$B$1,0,$B34)+IF(K$5=$B$3,'Emergy Costs'!$I33*$C$2,0)</f>
        <v>543</v>
      </c>
      <c r="L34" s="129">
        <f>IF(L$5&gt;$B$1,0,$B34)+IF(L$5=$B$3,'Emergy Costs'!$I33*$C$2,0)</f>
        <v>543</v>
      </c>
      <c r="M34" s="129">
        <f>IF(M$5&gt;$B$1,0,$B34)+IF(M$5=$B$3,'Emergy Costs'!$I33*$C$2,0)</f>
        <v>543</v>
      </c>
      <c r="N34" s="129">
        <f>IF(N$5&gt;$B$1,0,$B34)+IF(N$5=$B$3,'Emergy Costs'!$I33*$C$2,0)</f>
        <v>543</v>
      </c>
      <c r="O34" s="129">
        <f>IF(O$5&gt;$B$1,0,$B34)+IF(O$5=$B$3,'Emergy Costs'!$I33*$C$2,0)</f>
        <v>543</v>
      </c>
      <c r="P34" s="129">
        <f>IF(P$5&gt;$B$1,0,$B34)+IF(P$5=$B$3,'Emergy Costs'!$I33*$C$2,0)</f>
        <v>543</v>
      </c>
      <c r="Q34" s="129">
        <f>IF(Q$5&gt;$B$1,0,$B34)+IF(Q$5=$B$3,'Emergy Costs'!$I33*$C$2,0)</f>
        <v>543</v>
      </c>
      <c r="R34" s="129">
        <f>IF(R$5&gt;$B$1,0,$B34)+IF(R$5=$B$3,'Emergy Costs'!$I33*$C$2,0)</f>
        <v>543</v>
      </c>
      <c r="S34" s="129">
        <f>IF(S$5&gt;$B$1,0,$B34)+IF(S$5=$B$3,'Emergy Costs'!$I33*$C$2,0)</f>
        <v>543</v>
      </c>
      <c r="T34" s="129">
        <f>IF(T$5&gt;$B$1,0,$B34)+IF(T$5=$B$3,'Emergy Costs'!$I33*$C$2,0)</f>
        <v>543</v>
      </c>
      <c r="U34" s="129">
        <f>IF(U$5&gt;$B$1,0,$B34)+IF(U$5=$B$3,'Emergy Costs'!$I33*$C$2,0)</f>
        <v>543</v>
      </c>
      <c r="V34" s="129">
        <f t="shared" si="0"/>
        <v>11668.3159270725</v>
      </c>
      <c r="W34" s="135">
        <f t="shared" si="1"/>
        <v>0.1969958788630597</v>
      </c>
    </row>
    <row r="35" spans="1:23" ht="12.75">
      <c r="A35" s="128">
        <f>-'Emergy Costs'!G51</f>
        <v>-465375</v>
      </c>
      <c r="B35" s="128">
        <f>+'Emergy Costs'!H51</f>
        <v>49212</v>
      </c>
      <c r="C35" s="129">
        <f>IF(C$5&gt;$B$1,0,$B35)+IF(C$5=$B$3,'Emergy Costs'!$I51*$C$2,0)</f>
        <v>49212</v>
      </c>
      <c r="D35" s="129">
        <f>IF(D$5&gt;$B$1,0,$B35)+IF(D$5=$B$3,'Emergy Costs'!$I51*$C$2,0)</f>
        <v>49212</v>
      </c>
      <c r="E35" s="129">
        <f>IF(E$5&gt;$B$1,0,$B35)+IF(E$5=$B$3,'Emergy Costs'!$I51*$C$2,0)</f>
        <v>49212</v>
      </c>
      <c r="F35" s="129">
        <f>IF(F$5&gt;$B$1,0,$B35)+IF(F$5=$B$3,'Emergy Costs'!$I51*$C$2,0)</f>
        <v>49212</v>
      </c>
      <c r="G35" s="129">
        <f>IF(G$5&gt;$B$1,0,$B35)+IF(G$5=$B$3,'Emergy Costs'!$I51*$C$2,0)</f>
        <v>49212</v>
      </c>
      <c r="H35" s="129">
        <f>IF(H$5&gt;$B$1,0,$B35)+IF(H$5=$B$3,'Emergy Costs'!$I51*$C$2,0)</f>
        <v>49212</v>
      </c>
      <c r="I35" s="129">
        <f>IF(I$5&gt;$B$1,0,$B35)+IF(I$5=$B$3,'Emergy Costs'!$I51*$C$2,0)</f>
        <v>49212</v>
      </c>
      <c r="J35" s="129">
        <f>IF(J$5&gt;$B$1,0,$B35)+IF(J$5=$B$3,'Emergy Costs'!$I51*$C$2,0)</f>
        <v>49212</v>
      </c>
      <c r="K35" s="129">
        <f>IF(K$5&gt;$B$1,0,$B35)+IF(K$5=$B$3,'Emergy Costs'!$I51*$C$2,0)</f>
        <v>49212</v>
      </c>
      <c r="L35" s="129">
        <f>IF(L$5&gt;$B$1,0,$B35)+IF(L$5=$B$3,'Emergy Costs'!$I51*$C$2,0)</f>
        <v>49212</v>
      </c>
      <c r="M35" s="129">
        <f>IF(M$5&gt;$B$1,0,$B35)+IF(M$5=$B$3,'Emergy Costs'!$I51*$C$2,0)</f>
        <v>49212</v>
      </c>
      <c r="N35" s="129">
        <f>IF(N$5&gt;$B$1,0,$B35)+IF(N$5=$B$3,'Emergy Costs'!$I51*$C$2,0)</f>
        <v>49212</v>
      </c>
      <c r="O35" s="129">
        <f>IF(O$5&gt;$B$1,0,$B35)+IF(O$5=$B$3,'Emergy Costs'!$I51*$C$2,0)</f>
        <v>49212</v>
      </c>
      <c r="P35" s="129">
        <f>IF(P$5&gt;$B$1,0,$B35)+IF(P$5=$B$3,'Emergy Costs'!$I51*$C$2,0)</f>
        <v>49212</v>
      </c>
      <c r="Q35" s="129">
        <f>IF(Q$5&gt;$B$1,0,$B35)+IF(Q$5=$B$3,'Emergy Costs'!$I51*$C$2,0)</f>
        <v>49212</v>
      </c>
      <c r="R35" s="129">
        <f>IF(R$5&gt;$B$1,0,$B35)+IF(R$5=$B$3,'Emergy Costs'!$I51*$C$2,0)</f>
        <v>49212</v>
      </c>
      <c r="S35" s="129">
        <f>IF(S$5&gt;$B$1,0,$B35)+IF(S$5=$B$3,'Emergy Costs'!$I51*$C$2,0)</f>
        <v>49212</v>
      </c>
      <c r="T35" s="129">
        <f>IF(T$5&gt;$B$1,0,$B35)+IF(T$5=$B$3,'Emergy Costs'!$I51*$C$2,0)</f>
        <v>49212</v>
      </c>
      <c r="U35" s="129">
        <f>IF(U$5&gt;$B$1,0,$B35)+IF(U$5=$B$3,'Emergy Costs'!$I51*$C$2,0)</f>
        <v>49212</v>
      </c>
      <c r="V35" s="129">
        <f t="shared" si="0"/>
        <v>518865</v>
      </c>
      <c r="W35" s="135">
        <f t="shared" si="1"/>
        <v>0.08509875689699153</v>
      </c>
    </row>
    <row r="36" spans="1:23" ht="12.75">
      <c r="A36" s="128">
        <f>-'Emergy Costs'!G52</f>
        <v>-18031</v>
      </c>
      <c r="B36" s="128">
        <f>+'Emergy Costs'!H52</f>
        <v>500</v>
      </c>
      <c r="C36" s="129">
        <f>IF(C$5&gt;$B$1,0,$B36)+IF(C$5=$B$3,'Emergy Costs'!$I52*$C$2,0)</f>
        <v>500</v>
      </c>
      <c r="D36" s="129">
        <f>IF(D$5&gt;$B$1,0,$B36)+IF(D$5=$B$3,'Emergy Costs'!$I52*$C$2,0)</f>
        <v>500</v>
      </c>
      <c r="E36" s="129">
        <f>IF(E$5&gt;$B$1,0,$B36)+IF(E$5=$B$3,'Emergy Costs'!$I52*$C$2,0)</f>
        <v>500</v>
      </c>
      <c r="F36" s="129">
        <f>IF(F$5&gt;$B$1,0,$B36)+IF(F$5=$B$3,'Emergy Costs'!$I52*$C$2,0)</f>
        <v>21402.8708337033</v>
      </c>
      <c r="G36" s="129">
        <f>IF(G$5&gt;$B$1,0,$B36)+IF(G$5=$B$3,'Emergy Costs'!$I52*$C$2,0)</f>
        <v>500</v>
      </c>
      <c r="H36" s="129">
        <f>IF(H$5&gt;$B$1,0,$B36)+IF(H$5=$B$3,'Emergy Costs'!$I52*$C$2,0)</f>
        <v>500</v>
      </c>
      <c r="I36" s="129">
        <f>IF(I$5&gt;$B$1,0,$B36)+IF(I$5=$B$3,'Emergy Costs'!$I52*$C$2,0)</f>
        <v>500</v>
      </c>
      <c r="J36" s="129">
        <f>IF(J$5&gt;$B$1,0,$B36)+IF(J$5=$B$3,'Emergy Costs'!$I52*$C$2,0)</f>
        <v>500</v>
      </c>
      <c r="K36" s="129">
        <f>IF(K$5&gt;$B$1,0,$B36)+IF(K$5=$B$3,'Emergy Costs'!$I52*$C$2,0)</f>
        <v>500</v>
      </c>
      <c r="L36" s="129">
        <f>IF(L$5&gt;$B$1,0,$B36)+IF(L$5=$B$3,'Emergy Costs'!$I52*$C$2,0)</f>
        <v>500</v>
      </c>
      <c r="M36" s="129">
        <f>IF(M$5&gt;$B$1,0,$B36)+IF(M$5=$B$3,'Emergy Costs'!$I52*$C$2,0)</f>
        <v>500</v>
      </c>
      <c r="N36" s="129">
        <f>IF(N$5&gt;$B$1,0,$B36)+IF(N$5=$B$3,'Emergy Costs'!$I52*$C$2,0)</f>
        <v>500</v>
      </c>
      <c r="O36" s="129">
        <f>IF(O$5&gt;$B$1,0,$B36)+IF(O$5=$B$3,'Emergy Costs'!$I52*$C$2,0)</f>
        <v>500</v>
      </c>
      <c r="P36" s="129">
        <f>IF(P$5&gt;$B$1,0,$B36)+IF(P$5=$B$3,'Emergy Costs'!$I52*$C$2,0)</f>
        <v>500</v>
      </c>
      <c r="Q36" s="129">
        <f>IF(Q$5&gt;$B$1,0,$B36)+IF(Q$5=$B$3,'Emergy Costs'!$I52*$C$2,0)</f>
        <v>500</v>
      </c>
      <c r="R36" s="129">
        <f>IF(R$5&gt;$B$1,0,$B36)+IF(R$5=$B$3,'Emergy Costs'!$I52*$C$2,0)</f>
        <v>500</v>
      </c>
      <c r="S36" s="129">
        <f>IF(S$5&gt;$B$1,0,$B36)+IF(S$5=$B$3,'Emergy Costs'!$I52*$C$2,0)</f>
        <v>500</v>
      </c>
      <c r="T36" s="129">
        <f>IF(T$5&gt;$B$1,0,$B36)+IF(T$5=$B$3,'Emergy Costs'!$I52*$C$2,0)</f>
        <v>500</v>
      </c>
      <c r="U36" s="129">
        <f>IF(U$5&gt;$B$1,0,$B36)+IF(U$5=$B$3,'Emergy Costs'!$I52*$C$2,0)</f>
        <v>500</v>
      </c>
      <c r="V36" s="129">
        <f t="shared" si="0"/>
        <v>12871.870833703299</v>
      </c>
      <c r="W36" s="135">
        <f t="shared" si="1"/>
        <v>0.09125751612477653</v>
      </c>
    </row>
    <row r="37" spans="1:23" ht="12.75">
      <c r="A37" s="128">
        <f>-'Emergy Costs'!G32</f>
        <v>-1334862</v>
      </c>
      <c r="B37" s="128">
        <f>+'Emergy Costs'!H32</f>
        <v>33640</v>
      </c>
      <c r="C37" s="129">
        <f>IF(C$5&gt;$B$1,0,$B37)+IF(C$5=$B$3,'Emergy Costs'!$I32*$C$2,0)</f>
        <v>33640</v>
      </c>
      <c r="D37" s="129">
        <f>IF(D$5&gt;$B$1,0,$B37)+IF(D$5=$B$3,'Emergy Costs'!$I32*$C$2,0)</f>
        <v>33640</v>
      </c>
      <c r="E37" s="129">
        <f>IF(E$5&gt;$B$1,0,$B37)+IF(E$5=$B$3,'Emergy Costs'!$I32*$C$2,0)</f>
        <v>33640</v>
      </c>
      <c r="F37" s="129">
        <f>IF(F$5&gt;$B$1,0,$B37)+IF(F$5=$B$3,'Emergy Costs'!$I32*$C$2,0)</f>
        <v>1581110.9093682463</v>
      </c>
      <c r="G37" s="129">
        <f>IF(G$5&gt;$B$1,0,$B37)+IF(G$5=$B$3,'Emergy Costs'!$I32*$C$2,0)</f>
        <v>33640</v>
      </c>
      <c r="H37" s="129">
        <f>IF(H$5&gt;$B$1,0,$B37)+IF(H$5=$B$3,'Emergy Costs'!$I32*$C$2,0)</f>
        <v>33640</v>
      </c>
      <c r="I37" s="129">
        <f>IF(I$5&gt;$B$1,0,$B37)+IF(I$5=$B$3,'Emergy Costs'!$I32*$C$2,0)</f>
        <v>33640</v>
      </c>
      <c r="J37" s="129">
        <f>IF(J$5&gt;$B$1,0,$B37)+IF(J$5=$B$3,'Emergy Costs'!$I32*$C$2,0)</f>
        <v>33640</v>
      </c>
      <c r="K37" s="129">
        <f>IF(K$5&gt;$B$1,0,$B37)+IF(K$5=$B$3,'Emergy Costs'!$I32*$C$2,0)</f>
        <v>33640</v>
      </c>
      <c r="L37" s="129">
        <f>IF(L$5&gt;$B$1,0,$B37)+IF(L$5=$B$3,'Emergy Costs'!$I32*$C$2,0)</f>
        <v>33640</v>
      </c>
      <c r="M37" s="129">
        <f>IF(M$5&gt;$B$1,0,$B37)+IF(M$5=$B$3,'Emergy Costs'!$I32*$C$2,0)</f>
        <v>33640</v>
      </c>
      <c r="N37" s="129">
        <f>IF(N$5&gt;$B$1,0,$B37)+IF(N$5=$B$3,'Emergy Costs'!$I32*$C$2,0)</f>
        <v>33640</v>
      </c>
      <c r="O37" s="129">
        <f>IF(O$5&gt;$B$1,0,$B37)+IF(O$5=$B$3,'Emergy Costs'!$I32*$C$2,0)</f>
        <v>33640</v>
      </c>
      <c r="P37" s="129">
        <f>IF(P$5&gt;$B$1,0,$B37)+IF(P$5=$B$3,'Emergy Costs'!$I32*$C$2,0)</f>
        <v>33640</v>
      </c>
      <c r="Q37" s="129">
        <f>IF(Q$5&gt;$B$1,0,$B37)+IF(Q$5=$B$3,'Emergy Costs'!$I32*$C$2,0)</f>
        <v>33640</v>
      </c>
      <c r="R37" s="129">
        <f>IF(R$5&gt;$B$1,0,$B37)+IF(R$5=$B$3,'Emergy Costs'!$I32*$C$2,0)</f>
        <v>33640</v>
      </c>
      <c r="S37" s="129">
        <f>IF(S$5&gt;$B$1,0,$B37)+IF(S$5=$B$3,'Emergy Costs'!$I32*$C$2,0)</f>
        <v>33640</v>
      </c>
      <c r="T37" s="129">
        <f>IF(T$5&gt;$B$1,0,$B37)+IF(T$5=$B$3,'Emergy Costs'!$I32*$C$2,0)</f>
        <v>33640</v>
      </c>
      <c r="U37" s="129">
        <f>IF(U$5&gt;$B$1,0,$B37)+IF(U$5=$B$3,'Emergy Costs'!$I32*$C$2,0)</f>
        <v>33640</v>
      </c>
      <c r="V37" s="129">
        <f t="shared" si="0"/>
        <v>885408.9093682463</v>
      </c>
      <c r="W37" s="135">
        <f>IRR(A37:U37,-0.1)</f>
        <v>0.08679989571968513</v>
      </c>
    </row>
    <row r="38" spans="1:23" ht="12.75">
      <c r="A38" s="128">
        <f>-'Emergy Costs'!G53</f>
        <v>-69846</v>
      </c>
      <c r="B38" s="128">
        <f>+'Emergy Costs'!H53</f>
        <v>6097</v>
      </c>
      <c r="C38" s="129">
        <f>IF(C$5&gt;$B$1,0,$B38)+IF(C$5=$B$3,'Emergy Costs'!$I53*$C$2,0)</f>
        <v>6097</v>
      </c>
      <c r="D38" s="129">
        <f>IF(D$5&gt;$B$1,0,$B38)+IF(D$5=$B$3,'Emergy Costs'!$I53*$C$2,0)</f>
        <v>6097</v>
      </c>
      <c r="E38" s="129">
        <f>IF(E$5&gt;$B$1,0,$B38)+IF(E$5=$B$3,'Emergy Costs'!$I53*$C$2,0)</f>
        <v>6097</v>
      </c>
      <c r="F38" s="129">
        <f>IF(F$5&gt;$B$1,0,$B38)+IF(F$5=$B$3,'Emergy Costs'!$I53*$C$2,0)</f>
        <v>6097</v>
      </c>
      <c r="G38" s="129">
        <f>IF(G$5&gt;$B$1,0,$B38)+IF(G$5=$B$3,'Emergy Costs'!$I53*$C$2,0)</f>
        <v>6097</v>
      </c>
      <c r="H38" s="129">
        <f>IF(H$5&gt;$B$1,0,$B38)+IF(H$5=$B$3,'Emergy Costs'!$I53*$C$2,0)</f>
        <v>6097</v>
      </c>
      <c r="I38" s="129">
        <f>IF(I$5&gt;$B$1,0,$B38)+IF(I$5=$B$3,'Emergy Costs'!$I53*$C$2,0)</f>
        <v>6097</v>
      </c>
      <c r="J38" s="129">
        <f>IF(J$5&gt;$B$1,0,$B38)+IF(J$5=$B$3,'Emergy Costs'!$I53*$C$2,0)</f>
        <v>6097</v>
      </c>
      <c r="K38" s="129">
        <f>IF(K$5&gt;$B$1,0,$B38)+IF(K$5=$B$3,'Emergy Costs'!$I53*$C$2,0)</f>
        <v>6097</v>
      </c>
      <c r="L38" s="129">
        <f>IF(L$5&gt;$B$1,0,$B38)+IF(L$5=$B$3,'Emergy Costs'!$I53*$C$2,0)</f>
        <v>6097</v>
      </c>
      <c r="M38" s="129">
        <f>IF(M$5&gt;$B$1,0,$B38)+IF(M$5=$B$3,'Emergy Costs'!$I53*$C$2,0)</f>
        <v>6097</v>
      </c>
      <c r="N38" s="129">
        <f>IF(N$5&gt;$B$1,0,$B38)+IF(N$5=$B$3,'Emergy Costs'!$I53*$C$2,0)</f>
        <v>6097</v>
      </c>
      <c r="O38" s="129">
        <f>IF(O$5&gt;$B$1,0,$B38)+IF(O$5=$B$3,'Emergy Costs'!$I53*$C$2,0)</f>
        <v>6097</v>
      </c>
      <c r="P38" s="129">
        <f>IF(P$5&gt;$B$1,0,$B38)+IF(P$5=$B$3,'Emergy Costs'!$I53*$C$2,0)</f>
        <v>6097</v>
      </c>
      <c r="Q38" s="129">
        <f>IF(Q$5&gt;$B$1,0,$B38)+IF(Q$5=$B$3,'Emergy Costs'!$I53*$C$2,0)</f>
        <v>6097</v>
      </c>
      <c r="R38" s="129">
        <f>IF(R$5&gt;$B$1,0,$B38)+IF(R$5=$B$3,'Emergy Costs'!$I53*$C$2,0)</f>
        <v>6097</v>
      </c>
      <c r="S38" s="129">
        <f>IF(S$5&gt;$B$1,0,$B38)+IF(S$5=$B$3,'Emergy Costs'!$I53*$C$2,0)</f>
        <v>6097</v>
      </c>
      <c r="T38" s="129">
        <f>IF(T$5&gt;$B$1,0,$B38)+IF(T$5=$B$3,'Emergy Costs'!$I53*$C$2,0)</f>
        <v>6097</v>
      </c>
      <c r="U38" s="129">
        <f>IF(U$5&gt;$B$1,0,$B38)+IF(U$5=$B$3,'Emergy Costs'!$I53*$C$2,0)</f>
        <v>6097</v>
      </c>
      <c r="V38" s="129">
        <f t="shared" si="0"/>
        <v>52094</v>
      </c>
      <c r="W38" s="135">
        <f t="shared" si="1"/>
        <v>0.0601518217026627</v>
      </c>
    </row>
    <row r="39" spans="1:23" ht="12.75">
      <c r="A39" s="128">
        <f>-'Emergy Costs'!G30</f>
        <v>-285791</v>
      </c>
      <c r="B39" s="128">
        <f>+'Emergy Costs'!H30</f>
        <v>0</v>
      </c>
      <c r="C39" s="129">
        <f>IF(C$5&gt;$B$1,0,$B39)+IF(C$5=$B$3,'Emergy Costs'!$I30*$C$2,0)</f>
        <v>0</v>
      </c>
      <c r="D39" s="129">
        <f>IF(D$5&gt;$B$1,0,$B39)+IF(D$5=$B$3,'Emergy Costs'!$I30*$C$2,0)</f>
        <v>0</v>
      </c>
      <c r="E39" s="129">
        <f>IF(E$5&gt;$B$1,0,$B39)+IF(E$5=$B$3,'Emergy Costs'!$I30*$C$2,0)</f>
        <v>0</v>
      </c>
      <c r="F39" s="129">
        <f>IF(F$5&gt;$B$1,0,$B39)+IF(F$5=$B$3,'Emergy Costs'!$I30*$C$2,0)</f>
        <v>331310.09696827125</v>
      </c>
      <c r="G39" s="129">
        <f>IF(G$5&gt;$B$1,0,$B39)+IF(G$5=$B$3,'Emergy Costs'!$I30*$C$2,0)</f>
        <v>0</v>
      </c>
      <c r="H39" s="129">
        <f>IF(H$5&gt;$B$1,0,$B39)+IF(H$5=$B$3,'Emergy Costs'!$I30*$C$2,0)</f>
        <v>0</v>
      </c>
      <c r="I39" s="129">
        <f>IF(I$5&gt;$B$1,0,$B39)+IF(I$5=$B$3,'Emergy Costs'!$I30*$C$2,0)</f>
        <v>0</v>
      </c>
      <c r="J39" s="129">
        <f>IF(J$5&gt;$B$1,0,$B39)+IF(J$5=$B$3,'Emergy Costs'!$I30*$C$2,0)</f>
        <v>0</v>
      </c>
      <c r="K39" s="129">
        <f>IF(K$5&gt;$B$1,0,$B39)+IF(K$5=$B$3,'Emergy Costs'!$I30*$C$2,0)</f>
        <v>0</v>
      </c>
      <c r="L39" s="129">
        <f>IF(L$5&gt;$B$1,0,$B39)+IF(L$5=$B$3,'Emergy Costs'!$I30*$C$2,0)</f>
        <v>0</v>
      </c>
      <c r="M39" s="129">
        <f>IF(M$5&gt;$B$1,0,$B39)+IF(M$5=$B$3,'Emergy Costs'!$I30*$C$2,0)</f>
        <v>0</v>
      </c>
      <c r="N39" s="129">
        <f>IF(N$5&gt;$B$1,0,$B39)+IF(N$5=$B$3,'Emergy Costs'!$I30*$C$2,0)</f>
        <v>0</v>
      </c>
      <c r="O39" s="129">
        <f>IF(O$5&gt;$B$1,0,$B39)+IF(O$5=$B$3,'Emergy Costs'!$I30*$C$2,0)</f>
        <v>0</v>
      </c>
      <c r="P39" s="129">
        <f>IF(P$5&gt;$B$1,0,$B39)+IF(P$5=$B$3,'Emergy Costs'!$I30*$C$2,0)</f>
        <v>0</v>
      </c>
      <c r="Q39" s="129">
        <f>IF(Q$5&gt;$B$1,0,$B39)+IF(Q$5=$B$3,'Emergy Costs'!$I30*$C$2,0)</f>
        <v>0</v>
      </c>
      <c r="R39" s="129">
        <f>IF(R$5&gt;$B$1,0,$B39)+IF(R$5=$B$3,'Emergy Costs'!$I30*$C$2,0)</f>
        <v>0</v>
      </c>
      <c r="S39" s="129">
        <f>IF(S$5&gt;$B$1,0,$B39)+IF(S$5=$B$3,'Emergy Costs'!$I30*$C$2,0)</f>
        <v>0</v>
      </c>
      <c r="T39" s="129">
        <f>IF(T$5&gt;$B$1,0,$B39)+IF(T$5=$B$3,'Emergy Costs'!$I30*$C$2,0)</f>
        <v>0</v>
      </c>
      <c r="U39" s="129">
        <f>IF(U$5&gt;$B$1,0,$B39)+IF(U$5=$B$3,'Emergy Costs'!$I30*$C$2,0)</f>
        <v>0</v>
      </c>
      <c r="V39" s="129">
        <f t="shared" si="0"/>
        <v>45519.096968271246</v>
      </c>
      <c r="W39" s="135">
        <f>IRR(A39:U39,-0.1)</f>
        <v>0.02999999999999988</v>
      </c>
    </row>
    <row r="40" spans="1:23" ht="12.75">
      <c r="A40" s="128" t="e">
        <f>-'Emergy Costs'!#REF!</f>
        <v>#REF!</v>
      </c>
      <c r="B40" s="128" t="e">
        <f>+'Emergy Costs'!#REF!</f>
        <v>#REF!</v>
      </c>
      <c r="C40" s="129" t="e">
        <f>IF(C$5&gt;$B$1,0,$B40)+IF(C$5=$B$3,'Emergy Costs'!#REF!*$C$2,0)</f>
        <v>#REF!</v>
      </c>
      <c r="D40" s="129" t="e">
        <f>IF(D$5&gt;$B$1,0,$B40)+IF(D$5=$B$3,'Emergy Costs'!#REF!*$C$2,0)</f>
        <v>#REF!</v>
      </c>
      <c r="E40" s="129" t="e">
        <f>IF(E$5&gt;$B$1,0,$B40)+IF(E$5=$B$3,'Emergy Costs'!#REF!*$C$2,0)</f>
        <v>#REF!</v>
      </c>
      <c r="F40" s="129" t="e">
        <f>IF(F$5&gt;$B$1,0,$B40)+IF(F$5=$B$3,'Emergy Costs'!#REF!*$C$2,0)</f>
        <v>#REF!</v>
      </c>
      <c r="G40" s="129" t="e">
        <f>IF(G$5&gt;$B$1,0,$B40)+IF(G$5=$B$3,'Emergy Costs'!#REF!*$C$2,0)</f>
        <v>#REF!</v>
      </c>
      <c r="H40" s="129" t="e">
        <f>IF(H$5&gt;$B$1,0,$B40)+IF(H$5=$B$3,'Emergy Costs'!#REF!*$C$2,0)</f>
        <v>#REF!</v>
      </c>
      <c r="I40" s="129" t="e">
        <f>IF(I$5&gt;$B$1,0,$B40)+IF(I$5=$B$3,'Emergy Costs'!#REF!*$C$2,0)</f>
        <v>#REF!</v>
      </c>
      <c r="J40" s="129" t="e">
        <f>IF(J$5&gt;$B$1,0,$B40)+IF(J$5=$B$3,'Emergy Costs'!#REF!*$C$2,0)</f>
        <v>#REF!</v>
      </c>
      <c r="K40" s="129" t="e">
        <f>IF(K$5&gt;$B$1,0,$B40)+IF(K$5=$B$3,'Emergy Costs'!#REF!*$C$2,0)</f>
        <v>#REF!</v>
      </c>
      <c r="L40" s="129" t="e">
        <f>IF(L$5&gt;$B$1,0,$B40)+IF(L$5=$B$3,'Emergy Costs'!#REF!*$C$2,0)</f>
        <v>#REF!</v>
      </c>
      <c r="M40" s="129" t="e">
        <f>IF(M$5&gt;$B$1,0,$B40)+IF(M$5=$B$3,'Emergy Costs'!#REF!*$C$2,0)</f>
        <v>#REF!</v>
      </c>
      <c r="N40" s="129" t="e">
        <f>IF(N$5&gt;$B$1,0,$B40)+IF(N$5=$B$3,'Emergy Costs'!#REF!*$C$2,0)</f>
        <v>#REF!</v>
      </c>
      <c r="O40" s="129" t="e">
        <f>IF(O$5&gt;$B$1,0,$B40)+IF(O$5=$B$3,'Emergy Costs'!#REF!*$C$2,0)</f>
        <v>#REF!</v>
      </c>
      <c r="P40" s="129" t="e">
        <f>IF(P$5&gt;$B$1,0,$B40)+IF(P$5=$B$3,'Emergy Costs'!#REF!*$C$2,0)</f>
        <v>#REF!</v>
      </c>
      <c r="Q40" s="129" t="e">
        <f>IF(Q$5&gt;$B$1,0,$B40)+IF(Q$5=$B$3,'Emergy Costs'!#REF!*$C$2,0)</f>
        <v>#REF!</v>
      </c>
      <c r="R40" s="129" t="e">
        <f>IF(R$5&gt;$B$1,0,$B40)+IF(R$5=$B$3,'Emergy Costs'!#REF!*$C$2,0)</f>
        <v>#REF!</v>
      </c>
      <c r="S40" s="129" t="e">
        <f>IF(S$5&gt;$B$1,0,$B40)+IF(S$5=$B$3,'Emergy Costs'!#REF!*$C$2,0)</f>
        <v>#REF!</v>
      </c>
      <c r="T40" s="129" t="e">
        <f>IF(T$5&gt;$B$1,0,$B40)+IF(T$5=$B$3,'Emergy Costs'!#REF!*$C$2,0)</f>
        <v>#REF!</v>
      </c>
      <c r="U40" s="129" t="e">
        <f>IF(U$5&gt;$B$1,0,$B40)+IF(U$5=$B$3,'Emergy Costs'!#REF!*$C$2,0)</f>
        <v>#REF!</v>
      </c>
      <c r="V40" s="129" t="e">
        <f t="shared" si="0"/>
        <v>#REF!</v>
      </c>
      <c r="W40" s="135">
        <v>0</v>
      </c>
    </row>
    <row r="41" spans="1:23" ht="12.75">
      <c r="A41" s="128">
        <f>-'Emergy Costs'!G54</f>
        <v>-25509</v>
      </c>
      <c r="B41" s="128">
        <f>+'Emergy Costs'!H54</f>
        <v>15098</v>
      </c>
      <c r="C41" s="129">
        <f>IF(C$5&gt;$B$1,0,$B41)+IF(C$5=$B$3,'Emergy Costs'!$I54*$C$2,0)</f>
        <v>15098</v>
      </c>
      <c r="D41" s="129">
        <f>IF(D$5&gt;$B$1,0,$B41)+IF(D$5=$B$3,'Emergy Costs'!$I54*$C$2,0)</f>
        <v>15098</v>
      </c>
      <c r="E41" s="129">
        <f>IF(E$5&gt;$B$1,0,$B41)+IF(E$5=$B$3,'Emergy Costs'!$I54*$C$2,0)</f>
        <v>15098</v>
      </c>
      <c r="F41" s="129">
        <f>IF(F$5&gt;$B$1,0,$B41)+IF(F$5=$B$3,'Emergy Costs'!$I54*$C$2,0)</f>
        <v>15098</v>
      </c>
      <c r="G41" s="129">
        <f>IF(G$5&gt;$B$1,0,$B41)+IF(G$5=$B$3,'Emergy Costs'!$I54*$C$2,0)</f>
        <v>15098</v>
      </c>
      <c r="H41" s="129">
        <f>IF(H$5&gt;$B$1,0,$B41)+IF(H$5=$B$3,'Emergy Costs'!$I54*$C$2,0)</f>
        <v>15098</v>
      </c>
      <c r="I41" s="129">
        <f>IF(I$5&gt;$B$1,0,$B41)+IF(I$5=$B$3,'Emergy Costs'!$I54*$C$2,0)</f>
        <v>15098</v>
      </c>
      <c r="J41" s="129">
        <f>IF(J$5&gt;$B$1,0,$B41)+IF(J$5=$B$3,'Emergy Costs'!$I54*$C$2,0)</f>
        <v>15098</v>
      </c>
      <c r="K41" s="129">
        <f>IF(K$5&gt;$B$1,0,$B41)+IF(K$5=$B$3,'Emergy Costs'!$I54*$C$2,0)</f>
        <v>15098</v>
      </c>
      <c r="L41" s="129">
        <f>IF(L$5&gt;$B$1,0,$B41)+IF(L$5=$B$3,'Emergy Costs'!$I54*$C$2,0)</f>
        <v>15098</v>
      </c>
      <c r="M41" s="129">
        <f>IF(M$5&gt;$B$1,0,$B41)+IF(M$5=$B$3,'Emergy Costs'!$I54*$C$2,0)</f>
        <v>15098</v>
      </c>
      <c r="N41" s="129">
        <f>IF(N$5&gt;$B$1,0,$B41)+IF(N$5=$B$3,'Emergy Costs'!$I54*$C$2,0)</f>
        <v>15098</v>
      </c>
      <c r="O41" s="129">
        <f>IF(O$5&gt;$B$1,0,$B41)+IF(O$5=$B$3,'Emergy Costs'!$I54*$C$2,0)</f>
        <v>15098</v>
      </c>
      <c r="P41" s="129">
        <f>IF(P$5&gt;$B$1,0,$B41)+IF(P$5=$B$3,'Emergy Costs'!$I54*$C$2,0)</f>
        <v>15098</v>
      </c>
      <c r="Q41" s="129">
        <f>IF(Q$5&gt;$B$1,0,$B41)+IF(Q$5=$B$3,'Emergy Costs'!$I54*$C$2,0)</f>
        <v>15098</v>
      </c>
      <c r="R41" s="129">
        <f>IF(R$5&gt;$B$1,0,$B41)+IF(R$5=$B$3,'Emergy Costs'!$I54*$C$2,0)</f>
        <v>15098</v>
      </c>
      <c r="S41" s="129">
        <f>IF(S$5&gt;$B$1,0,$B41)+IF(S$5=$B$3,'Emergy Costs'!$I54*$C$2,0)</f>
        <v>15098</v>
      </c>
      <c r="T41" s="129">
        <f>IF(T$5&gt;$B$1,0,$B41)+IF(T$5=$B$3,'Emergy Costs'!$I54*$C$2,0)</f>
        <v>15098</v>
      </c>
      <c r="U41" s="129">
        <f>IF(U$5&gt;$B$1,0,$B41)+IF(U$5=$B$3,'Emergy Costs'!$I54*$C$2,0)</f>
        <v>15098</v>
      </c>
      <c r="V41" s="129">
        <f t="shared" si="0"/>
        <v>276451</v>
      </c>
      <c r="W41" s="135">
        <f t="shared" si="1"/>
        <v>0.5918152896387427</v>
      </c>
    </row>
    <row r="42" spans="1:23" ht="12.75">
      <c r="A42" s="128">
        <f>-'Emergy Costs'!G55</f>
        <v>-541391</v>
      </c>
      <c r="B42" s="128">
        <f>+'Emergy Costs'!H55</f>
        <v>7500</v>
      </c>
      <c r="C42" s="129">
        <f>IF(C$5&gt;$B$1,0,$B42)+IF(C$5=$B$3,'Emergy Costs'!$I55*$C$2,0)</f>
        <v>7500</v>
      </c>
      <c r="D42" s="129">
        <f>IF(D$5&gt;$B$1,0,$B42)+IF(D$5=$B$3,'Emergy Costs'!$I55*$C$2,0)</f>
        <v>7500</v>
      </c>
      <c r="E42" s="129">
        <f>IF(E$5&gt;$B$1,0,$B42)+IF(E$5=$B$3,'Emergy Costs'!$I55*$C$2,0)</f>
        <v>7500</v>
      </c>
      <c r="F42" s="129">
        <f>IF(F$5&gt;$B$1,0,$B42)+IF(F$5=$B$3,'Emergy Costs'!$I55*$C$2,0)</f>
        <v>635120.5503593512</v>
      </c>
      <c r="G42" s="129">
        <f>IF(G$5&gt;$B$1,0,$B42)+IF(G$5=$B$3,'Emergy Costs'!$I55*$C$2,0)</f>
        <v>7500</v>
      </c>
      <c r="H42" s="129">
        <f>IF(H$5&gt;$B$1,0,$B42)+IF(H$5=$B$3,'Emergy Costs'!$I55*$C$2,0)</f>
        <v>7500</v>
      </c>
      <c r="I42" s="129">
        <f>IF(I$5&gt;$B$1,0,$B42)+IF(I$5=$B$3,'Emergy Costs'!$I55*$C$2,0)</f>
        <v>7500</v>
      </c>
      <c r="J42" s="129">
        <f>IF(J$5&gt;$B$1,0,$B42)+IF(J$5=$B$3,'Emergy Costs'!$I55*$C$2,0)</f>
        <v>7500</v>
      </c>
      <c r="K42" s="129">
        <f>IF(K$5&gt;$B$1,0,$B42)+IF(K$5=$B$3,'Emergy Costs'!$I55*$C$2,0)</f>
        <v>7500</v>
      </c>
      <c r="L42" s="129">
        <f>IF(L$5&gt;$B$1,0,$B42)+IF(L$5=$B$3,'Emergy Costs'!$I55*$C$2,0)</f>
        <v>7500</v>
      </c>
      <c r="M42" s="129">
        <f>IF(M$5&gt;$B$1,0,$B42)+IF(M$5=$B$3,'Emergy Costs'!$I55*$C$2,0)</f>
        <v>7500</v>
      </c>
      <c r="N42" s="129">
        <f>IF(N$5&gt;$B$1,0,$B42)+IF(N$5=$B$3,'Emergy Costs'!$I55*$C$2,0)</f>
        <v>7500</v>
      </c>
      <c r="O42" s="129">
        <f>IF(O$5&gt;$B$1,0,$B42)+IF(O$5=$B$3,'Emergy Costs'!$I55*$C$2,0)</f>
        <v>7500</v>
      </c>
      <c r="P42" s="129">
        <f>IF(P$5&gt;$B$1,0,$B42)+IF(P$5=$B$3,'Emergy Costs'!$I55*$C$2,0)</f>
        <v>7500</v>
      </c>
      <c r="Q42" s="129">
        <f>IF(Q$5&gt;$B$1,0,$B42)+IF(Q$5=$B$3,'Emergy Costs'!$I55*$C$2,0)</f>
        <v>7500</v>
      </c>
      <c r="R42" s="129">
        <f>IF(R$5&gt;$B$1,0,$B42)+IF(R$5=$B$3,'Emergy Costs'!$I55*$C$2,0)</f>
        <v>7500</v>
      </c>
      <c r="S42" s="129">
        <f>IF(S$5&gt;$B$1,0,$B42)+IF(S$5=$B$3,'Emergy Costs'!$I55*$C$2,0)</f>
        <v>7500</v>
      </c>
      <c r="T42" s="129">
        <f>IF(T$5&gt;$B$1,0,$B42)+IF(T$5=$B$3,'Emergy Costs'!$I55*$C$2,0)</f>
        <v>7500</v>
      </c>
      <c r="U42" s="129">
        <f>IF(U$5&gt;$B$1,0,$B42)+IF(U$5=$B$3,'Emergy Costs'!$I55*$C$2,0)</f>
        <v>7500</v>
      </c>
      <c r="V42" s="129">
        <f t="shared" si="0"/>
        <v>236229.5503593512</v>
      </c>
      <c r="W42" s="135">
        <f t="shared" si="1"/>
        <v>0.06476366139786024</v>
      </c>
    </row>
    <row r="43" spans="1:23" ht="12.75">
      <c r="A43" s="128">
        <f>-'Emergy Costs'!G56</f>
        <v>-77134</v>
      </c>
      <c r="B43" s="128">
        <f>+'Emergy Costs'!H56</f>
        <v>500</v>
      </c>
      <c r="C43" s="129">
        <f>IF(C$5&gt;$B$1,0,$B43)+IF(C$5=$B$3,'Emergy Costs'!$I56*$C$2,0)</f>
        <v>500</v>
      </c>
      <c r="D43" s="129">
        <f>IF(D$5&gt;$B$1,0,$B43)+IF(D$5=$B$3,'Emergy Costs'!$I56*$C$2,0)</f>
        <v>500</v>
      </c>
      <c r="E43" s="129">
        <f>IF(E$5&gt;$B$1,0,$B43)+IF(E$5=$B$3,'Emergy Costs'!$I56*$C$2,0)</f>
        <v>500</v>
      </c>
      <c r="F43" s="129">
        <f>IF(F$5&gt;$B$1,0,$B43)+IF(F$5=$B$3,'Emergy Costs'!$I56*$C$2,0)</f>
        <v>89919.4464470562</v>
      </c>
      <c r="G43" s="129">
        <f>IF(G$5&gt;$B$1,0,$B43)+IF(G$5=$B$3,'Emergy Costs'!$I56*$C$2,0)</f>
        <v>500</v>
      </c>
      <c r="H43" s="129">
        <f>IF(H$5&gt;$B$1,0,$B43)+IF(H$5=$B$3,'Emergy Costs'!$I56*$C$2,0)</f>
        <v>500</v>
      </c>
      <c r="I43" s="129">
        <f>IF(I$5&gt;$B$1,0,$B43)+IF(I$5=$B$3,'Emergy Costs'!$I56*$C$2,0)</f>
        <v>500</v>
      </c>
      <c r="J43" s="129">
        <f>IF(J$5&gt;$B$1,0,$B43)+IF(J$5=$B$3,'Emergy Costs'!$I56*$C$2,0)</f>
        <v>500</v>
      </c>
      <c r="K43" s="129">
        <f>IF(K$5&gt;$B$1,0,$B43)+IF(K$5=$B$3,'Emergy Costs'!$I56*$C$2,0)</f>
        <v>500</v>
      </c>
      <c r="L43" s="129">
        <f>IF(L$5&gt;$B$1,0,$B43)+IF(L$5=$B$3,'Emergy Costs'!$I56*$C$2,0)</f>
        <v>500</v>
      </c>
      <c r="M43" s="129">
        <f>IF(M$5&gt;$B$1,0,$B43)+IF(M$5=$B$3,'Emergy Costs'!$I56*$C$2,0)</f>
        <v>500</v>
      </c>
      <c r="N43" s="129">
        <f>IF(N$5&gt;$B$1,0,$B43)+IF(N$5=$B$3,'Emergy Costs'!$I56*$C$2,0)</f>
        <v>500</v>
      </c>
      <c r="O43" s="129">
        <f>IF(O$5&gt;$B$1,0,$B43)+IF(O$5=$B$3,'Emergy Costs'!$I56*$C$2,0)</f>
        <v>500</v>
      </c>
      <c r="P43" s="129">
        <f>IF(P$5&gt;$B$1,0,$B43)+IF(P$5=$B$3,'Emergy Costs'!$I56*$C$2,0)</f>
        <v>500</v>
      </c>
      <c r="Q43" s="129">
        <f>IF(Q$5&gt;$B$1,0,$B43)+IF(Q$5=$B$3,'Emergy Costs'!$I56*$C$2,0)</f>
        <v>500</v>
      </c>
      <c r="R43" s="129">
        <f>IF(R$5&gt;$B$1,0,$B43)+IF(R$5=$B$3,'Emergy Costs'!$I56*$C$2,0)</f>
        <v>500</v>
      </c>
      <c r="S43" s="129">
        <f>IF(S$5&gt;$B$1,0,$B43)+IF(S$5=$B$3,'Emergy Costs'!$I56*$C$2,0)</f>
        <v>500</v>
      </c>
      <c r="T43" s="129">
        <f>IF(T$5&gt;$B$1,0,$B43)+IF(T$5=$B$3,'Emergy Costs'!$I56*$C$2,0)</f>
        <v>500</v>
      </c>
      <c r="U43" s="129">
        <f>IF(U$5&gt;$B$1,0,$B43)+IF(U$5=$B$3,'Emergy Costs'!$I56*$C$2,0)</f>
        <v>500</v>
      </c>
      <c r="V43" s="129">
        <f t="shared" si="0"/>
        <v>22285.446447056194</v>
      </c>
      <c r="W43" s="135">
        <f t="shared" si="1"/>
        <v>0.04784105053154954</v>
      </c>
    </row>
    <row r="44" spans="1:23" ht="12.75">
      <c r="A44" s="128">
        <f>-'Emergy Costs'!G57</f>
        <v>-293398</v>
      </c>
      <c r="B44" s="128">
        <f>+'Emergy Costs'!H57</f>
        <v>1214</v>
      </c>
      <c r="C44" s="129">
        <f>IF(C$5&gt;$B$1,0,$B44)+IF(C$5=$B$3,'Emergy Costs'!$I57*$C$2,0)</f>
        <v>1214</v>
      </c>
      <c r="D44" s="129">
        <f>IF(D$5&gt;$B$1,0,$B44)+IF(D$5=$B$3,'Emergy Costs'!$I57*$C$2,0)</f>
        <v>1214</v>
      </c>
      <c r="E44" s="129">
        <f>IF(E$5&gt;$B$1,0,$B44)+IF(E$5=$B$3,'Emergy Costs'!$I57*$C$2,0)</f>
        <v>1214</v>
      </c>
      <c r="F44" s="129">
        <f>IF(F$5&gt;$B$1,0,$B44)+IF(F$5=$B$3,'Emergy Costs'!$I57*$C$2,0)</f>
        <v>1214</v>
      </c>
      <c r="G44" s="129">
        <f>IF(G$5&gt;$B$1,0,$B44)+IF(G$5=$B$3,'Emergy Costs'!$I57*$C$2,0)</f>
        <v>1214</v>
      </c>
      <c r="H44" s="129">
        <f>IF(H$5&gt;$B$1,0,$B44)+IF(H$5=$B$3,'Emergy Costs'!$I57*$C$2,0)</f>
        <v>1214</v>
      </c>
      <c r="I44" s="129">
        <f>IF(I$5&gt;$B$1,0,$B44)+IF(I$5=$B$3,'Emergy Costs'!$I57*$C$2,0)</f>
        <v>1214</v>
      </c>
      <c r="J44" s="129">
        <f>IF(J$5&gt;$B$1,0,$B44)+IF(J$5=$B$3,'Emergy Costs'!$I57*$C$2,0)</f>
        <v>1214</v>
      </c>
      <c r="K44" s="129">
        <f>IF(K$5&gt;$B$1,0,$B44)+IF(K$5=$B$3,'Emergy Costs'!$I57*$C$2,0)</f>
        <v>1214</v>
      </c>
      <c r="L44" s="129">
        <f>IF(L$5&gt;$B$1,0,$B44)+IF(L$5=$B$3,'Emergy Costs'!$I57*$C$2,0)</f>
        <v>1214</v>
      </c>
      <c r="M44" s="129">
        <f>IF(M$5&gt;$B$1,0,$B44)+IF(M$5=$B$3,'Emergy Costs'!$I57*$C$2,0)</f>
        <v>1214</v>
      </c>
      <c r="N44" s="129">
        <f>IF(N$5&gt;$B$1,0,$B44)+IF(N$5=$B$3,'Emergy Costs'!$I57*$C$2,0)</f>
        <v>1214</v>
      </c>
      <c r="O44" s="129">
        <f>IF(O$5&gt;$B$1,0,$B44)+IF(O$5=$B$3,'Emergy Costs'!$I57*$C$2,0)</f>
        <v>1214</v>
      </c>
      <c r="P44" s="129">
        <f>IF(P$5&gt;$B$1,0,$B44)+IF(P$5=$B$3,'Emergy Costs'!$I57*$C$2,0)</f>
        <v>1214</v>
      </c>
      <c r="Q44" s="129">
        <f>IF(Q$5&gt;$B$1,0,$B44)+IF(Q$5=$B$3,'Emergy Costs'!$I57*$C$2,0)</f>
        <v>1214</v>
      </c>
      <c r="R44" s="129">
        <f>IF(R$5&gt;$B$1,0,$B44)+IF(R$5=$B$3,'Emergy Costs'!$I57*$C$2,0)</f>
        <v>1214</v>
      </c>
      <c r="S44" s="129">
        <f>IF(S$5&gt;$B$1,0,$B44)+IF(S$5=$B$3,'Emergy Costs'!$I57*$C$2,0)</f>
        <v>1214</v>
      </c>
      <c r="T44" s="129">
        <f>IF(T$5&gt;$B$1,0,$B44)+IF(T$5=$B$3,'Emergy Costs'!$I57*$C$2,0)</f>
        <v>1214</v>
      </c>
      <c r="U44" s="129">
        <f>IF(U$5&gt;$B$1,0,$B44)+IF(U$5=$B$3,'Emergy Costs'!$I57*$C$2,0)</f>
        <v>1214</v>
      </c>
      <c r="V44" s="129">
        <f t="shared" si="0"/>
        <v>-269118</v>
      </c>
      <c r="W44" s="250">
        <f>IRR(A44:U44,-0.2)</f>
        <v>-0.17071338114543264</v>
      </c>
    </row>
    <row r="45" spans="1:23" ht="12.75">
      <c r="A45" s="128">
        <f>-'Emergy Costs'!G58</f>
        <v>-1617630</v>
      </c>
      <c r="B45" s="128">
        <f>+'Emergy Costs'!H58</f>
        <v>39023</v>
      </c>
      <c r="C45" s="129">
        <f>IF(C$5&gt;$B$1,0,$B45)+IF(C$5=$B$3,'Emergy Costs'!$I58*$C$2,0)</f>
        <v>39023</v>
      </c>
      <c r="D45" s="129">
        <f>IF(D$5&gt;$B$1,0,$B45)+IF(D$5=$B$3,'Emergy Costs'!$I58*$C$2,0)</f>
        <v>39023</v>
      </c>
      <c r="E45" s="129">
        <f>IF(E$5&gt;$B$1,0,$B45)+IF(E$5=$B$3,'Emergy Costs'!$I58*$C$2,0)</f>
        <v>39023</v>
      </c>
      <c r="F45" s="129">
        <f>IF(F$5&gt;$B$1,0,$B45)+IF(F$5=$B$3,'Emergy Costs'!$I58*$C$2,0)</f>
        <v>39023</v>
      </c>
      <c r="G45" s="129">
        <f>IF(G$5&gt;$B$1,0,$B45)+IF(G$5=$B$3,'Emergy Costs'!$I58*$C$2,0)</f>
        <v>39023</v>
      </c>
      <c r="H45" s="129">
        <f>IF(H$5&gt;$B$1,0,$B45)+IF(H$5=$B$3,'Emergy Costs'!$I58*$C$2,0)</f>
        <v>39023</v>
      </c>
      <c r="I45" s="129">
        <f>IF(I$5&gt;$B$1,0,$B45)+IF(I$5=$B$3,'Emergy Costs'!$I58*$C$2,0)</f>
        <v>39023</v>
      </c>
      <c r="J45" s="129">
        <f>IF(J$5&gt;$B$1,0,$B45)+IF(J$5=$B$3,'Emergy Costs'!$I58*$C$2,0)</f>
        <v>39023</v>
      </c>
      <c r="K45" s="129">
        <f>IF(K$5&gt;$B$1,0,$B45)+IF(K$5=$B$3,'Emergy Costs'!$I58*$C$2,0)</f>
        <v>39023</v>
      </c>
      <c r="L45" s="129">
        <f>IF(L$5&gt;$B$1,0,$B45)+IF(L$5=$B$3,'Emergy Costs'!$I58*$C$2,0)</f>
        <v>39023</v>
      </c>
      <c r="M45" s="129">
        <f>IF(M$5&gt;$B$1,0,$B45)+IF(M$5=$B$3,'Emergy Costs'!$I58*$C$2,0)</f>
        <v>39023</v>
      </c>
      <c r="N45" s="129">
        <f>IF(N$5&gt;$B$1,0,$B45)+IF(N$5=$B$3,'Emergy Costs'!$I58*$C$2,0)</f>
        <v>39023</v>
      </c>
      <c r="O45" s="129">
        <f>IF(O$5&gt;$B$1,0,$B45)+IF(O$5=$B$3,'Emergy Costs'!$I58*$C$2,0)</f>
        <v>39023</v>
      </c>
      <c r="P45" s="129">
        <f>IF(P$5&gt;$B$1,0,$B45)+IF(P$5=$B$3,'Emergy Costs'!$I58*$C$2,0)</f>
        <v>39023</v>
      </c>
      <c r="Q45" s="129">
        <f>IF(Q$5&gt;$B$1,0,$B45)+IF(Q$5=$B$3,'Emergy Costs'!$I58*$C$2,0)</f>
        <v>39023</v>
      </c>
      <c r="R45" s="129">
        <f>IF(R$5&gt;$B$1,0,$B45)+IF(R$5=$B$3,'Emergy Costs'!$I58*$C$2,0)</f>
        <v>39023</v>
      </c>
      <c r="S45" s="129">
        <f>IF(S$5&gt;$B$1,0,$B45)+IF(S$5=$B$3,'Emergy Costs'!$I58*$C$2,0)</f>
        <v>39023</v>
      </c>
      <c r="T45" s="129">
        <f>IF(T$5&gt;$B$1,0,$B45)+IF(T$5=$B$3,'Emergy Costs'!$I58*$C$2,0)</f>
        <v>39023</v>
      </c>
      <c r="U45" s="129">
        <f>IF(U$5&gt;$B$1,0,$B45)+IF(U$5=$B$3,'Emergy Costs'!$I58*$C$2,0)</f>
        <v>39023</v>
      </c>
      <c r="V45" s="129">
        <f t="shared" si="0"/>
        <v>-837170</v>
      </c>
      <c r="W45" s="135">
        <f>IRR(A45:U45,-0.1)</f>
        <v>-0.06122141357320051</v>
      </c>
    </row>
    <row r="46" spans="1:23" ht="12.75">
      <c r="A46" s="128">
        <f>-'Emergy Costs'!G59</f>
        <v>-187123</v>
      </c>
      <c r="B46" s="128">
        <f>+'Emergy Costs'!H59</f>
        <v>10144</v>
      </c>
      <c r="C46" s="129">
        <f>IF(C$5&gt;$B$1,0,$B46)+IF(C$5=$B$3,'Emergy Costs'!$I59*$C$2,0)</f>
        <v>10144</v>
      </c>
      <c r="D46" s="129">
        <f>IF(D$5&gt;$B$1,0,$B46)+IF(D$5=$B$3,'Emergy Costs'!$I59*$C$2,0)</f>
        <v>10144</v>
      </c>
      <c r="E46" s="129">
        <f>IF(E$5&gt;$B$1,0,$B46)+IF(E$5=$B$3,'Emergy Costs'!$I59*$C$2,0)</f>
        <v>10144</v>
      </c>
      <c r="F46" s="129">
        <f>IF(F$5&gt;$B$1,0,$B46)+IF(F$5=$B$3,'Emergy Costs'!$I59*$C$2,0)</f>
        <v>10144</v>
      </c>
      <c r="G46" s="129">
        <f>IF(G$5&gt;$B$1,0,$B46)+IF(G$5=$B$3,'Emergy Costs'!$I59*$C$2,0)</f>
        <v>10144</v>
      </c>
      <c r="H46" s="129">
        <f>IF(H$5&gt;$B$1,0,$B46)+IF(H$5=$B$3,'Emergy Costs'!$I59*$C$2,0)</f>
        <v>10144</v>
      </c>
      <c r="I46" s="129">
        <f>IF(I$5&gt;$B$1,0,$B46)+IF(I$5=$B$3,'Emergy Costs'!$I59*$C$2,0)</f>
        <v>10144</v>
      </c>
      <c r="J46" s="129">
        <f>IF(J$5&gt;$B$1,0,$B46)+IF(J$5=$B$3,'Emergy Costs'!$I59*$C$2,0)</f>
        <v>10144</v>
      </c>
      <c r="K46" s="129">
        <f>IF(K$5&gt;$B$1,0,$B46)+IF(K$5=$B$3,'Emergy Costs'!$I59*$C$2,0)</f>
        <v>10144</v>
      </c>
      <c r="L46" s="129">
        <f>IF(L$5&gt;$B$1,0,$B46)+IF(L$5=$B$3,'Emergy Costs'!$I59*$C$2,0)</f>
        <v>10144</v>
      </c>
      <c r="M46" s="129">
        <f>IF(M$5&gt;$B$1,0,$B46)+IF(M$5=$B$3,'Emergy Costs'!$I59*$C$2,0)</f>
        <v>10144</v>
      </c>
      <c r="N46" s="129">
        <f>IF(N$5&gt;$B$1,0,$B46)+IF(N$5=$B$3,'Emergy Costs'!$I59*$C$2,0)</f>
        <v>10144</v>
      </c>
      <c r="O46" s="129">
        <f>IF(O$5&gt;$B$1,0,$B46)+IF(O$5=$B$3,'Emergy Costs'!$I59*$C$2,0)</f>
        <v>10144</v>
      </c>
      <c r="P46" s="129">
        <f>IF(P$5&gt;$B$1,0,$B46)+IF(P$5=$B$3,'Emergy Costs'!$I59*$C$2,0)</f>
        <v>10144</v>
      </c>
      <c r="Q46" s="129">
        <f>IF(Q$5&gt;$B$1,0,$B46)+IF(Q$5=$B$3,'Emergy Costs'!$I59*$C$2,0)</f>
        <v>10144</v>
      </c>
      <c r="R46" s="129">
        <f>IF(R$5&gt;$B$1,0,$B46)+IF(R$5=$B$3,'Emergy Costs'!$I59*$C$2,0)</f>
        <v>10144</v>
      </c>
      <c r="S46" s="129">
        <f>IF(S$5&gt;$B$1,0,$B46)+IF(S$5=$B$3,'Emergy Costs'!$I59*$C$2,0)</f>
        <v>10144</v>
      </c>
      <c r="T46" s="129">
        <f>IF(T$5&gt;$B$1,0,$B46)+IF(T$5=$B$3,'Emergy Costs'!$I59*$C$2,0)</f>
        <v>10144</v>
      </c>
      <c r="U46" s="129">
        <f>IF(U$5&gt;$B$1,0,$B46)+IF(U$5=$B$3,'Emergy Costs'!$I59*$C$2,0)</f>
        <v>10144</v>
      </c>
      <c r="V46" s="129">
        <f t="shared" si="0"/>
        <v>15757</v>
      </c>
      <c r="W46" s="135">
        <f>IRR(A46:U46,-0.1)</f>
        <v>0.007826540692258997</v>
      </c>
    </row>
    <row r="47" spans="1:23" ht="12.75">
      <c r="A47" s="128">
        <f>-'Emergy Costs'!G60</f>
        <v>-577402</v>
      </c>
      <c r="B47" s="128">
        <f>+'Emergy Costs'!H60</f>
        <v>42719.5</v>
      </c>
      <c r="C47" s="129">
        <f>IF(C$5&gt;$B$1,0,$B47)+IF(C$5=$B$3,'Emergy Costs'!$I60*$C$2,0)</f>
        <v>42719.5</v>
      </c>
      <c r="D47" s="129">
        <f>IF(D$5&gt;$B$1,0,$B47)+IF(D$5=$B$3,'Emergy Costs'!$I60*$C$2,0)</f>
        <v>42719.5</v>
      </c>
      <c r="E47" s="129">
        <f>IF(E$5&gt;$B$1,0,$B47)+IF(E$5=$B$3,'Emergy Costs'!$I60*$C$2,0)</f>
        <v>42719.5</v>
      </c>
      <c r="F47" s="129">
        <f>IF(F$5&gt;$B$1,0,$B47)+IF(F$5=$B$3,'Emergy Costs'!$I60*$C$2,0)</f>
        <v>42719.5</v>
      </c>
      <c r="G47" s="129">
        <f>IF(G$5&gt;$B$1,0,$B47)+IF(G$5=$B$3,'Emergy Costs'!$I60*$C$2,0)</f>
        <v>42719.5</v>
      </c>
      <c r="H47" s="129">
        <f>IF(H$5&gt;$B$1,0,$B47)+IF(H$5=$B$3,'Emergy Costs'!$I60*$C$2,0)</f>
        <v>42719.5</v>
      </c>
      <c r="I47" s="129">
        <f>IF(I$5&gt;$B$1,0,$B47)+IF(I$5=$B$3,'Emergy Costs'!$I60*$C$2,0)</f>
        <v>42719.5</v>
      </c>
      <c r="J47" s="129">
        <f>IF(J$5&gt;$B$1,0,$B47)+IF(J$5=$B$3,'Emergy Costs'!$I60*$C$2,0)</f>
        <v>42719.5</v>
      </c>
      <c r="K47" s="129">
        <f>IF(K$5&gt;$B$1,0,$B47)+IF(K$5=$B$3,'Emergy Costs'!$I60*$C$2,0)</f>
        <v>42719.5</v>
      </c>
      <c r="L47" s="129">
        <f>IF(L$5&gt;$B$1,0,$B47)+IF(L$5=$B$3,'Emergy Costs'!$I60*$C$2,0)</f>
        <v>42719.5</v>
      </c>
      <c r="M47" s="129">
        <f>IF(M$5&gt;$B$1,0,$B47)+IF(M$5=$B$3,'Emergy Costs'!$I60*$C$2,0)</f>
        <v>42719.5</v>
      </c>
      <c r="N47" s="129">
        <f>IF(N$5&gt;$B$1,0,$B47)+IF(N$5=$B$3,'Emergy Costs'!$I60*$C$2,0)</f>
        <v>42719.5</v>
      </c>
      <c r="O47" s="129">
        <f>IF(O$5&gt;$B$1,0,$B47)+IF(O$5=$B$3,'Emergy Costs'!$I60*$C$2,0)</f>
        <v>42719.5</v>
      </c>
      <c r="P47" s="129">
        <f>IF(P$5&gt;$B$1,0,$B47)+IF(P$5=$B$3,'Emergy Costs'!$I60*$C$2,0)</f>
        <v>42719.5</v>
      </c>
      <c r="Q47" s="129">
        <f>IF(Q$5&gt;$B$1,0,$B47)+IF(Q$5=$B$3,'Emergy Costs'!$I60*$C$2,0)</f>
        <v>42719.5</v>
      </c>
      <c r="R47" s="129">
        <f>IF(R$5&gt;$B$1,0,$B47)+IF(R$5=$B$3,'Emergy Costs'!$I60*$C$2,0)</f>
        <v>42719.5</v>
      </c>
      <c r="S47" s="129">
        <f>IF(S$5&gt;$B$1,0,$B47)+IF(S$5=$B$3,'Emergy Costs'!$I60*$C$2,0)</f>
        <v>42719.5</v>
      </c>
      <c r="T47" s="129">
        <f>IF(T$5&gt;$B$1,0,$B47)+IF(T$5=$B$3,'Emergy Costs'!$I60*$C$2,0)</f>
        <v>42719.5</v>
      </c>
      <c r="U47" s="129">
        <f>IF(U$5&gt;$B$1,0,$B47)+IF(U$5=$B$3,'Emergy Costs'!$I60*$C$2,0)</f>
        <v>42719.5</v>
      </c>
      <c r="V47" s="129">
        <f t="shared" si="0"/>
        <v>276988</v>
      </c>
      <c r="W47" s="135">
        <f t="shared" si="1"/>
        <v>0.04061912888493041</v>
      </c>
    </row>
    <row r="48" spans="1:23" ht="12.75">
      <c r="A48" s="128">
        <f>-'Emergy Costs'!G61</f>
        <v>-130023</v>
      </c>
      <c r="B48" s="128">
        <f>+'Emergy Costs'!H61</f>
        <v>8214</v>
      </c>
      <c r="C48" s="129">
        <f>IF(C$5&gt;$B$1,0,$B48)+IF(C$5=$B$3,'Emergy Costs'!$I61*$C$2,0)</f>
        <v>8214</v>
      </c>
      <c r="D48" s="129">
        <f>IF(D$5&gt;$B$1,0,$B48)+IF(D$5=$B$3,'Emergy Costs'!$I61*$C$2,0)</f>
        <v>8214</v>
      </c>
      <c r="E48" s="129">
        <f>IF(E$5&gt;$B$1,0,$B48)+IF(E$5=$B$3,'Emergy Costs'!$I61*$C$2,0)</f>
        <v>8214</v>
      </c>
      <c r="F48" s="129">
        <f>IF(F$5&gt;$B$1,0,$B48)+IF(F$5=$B$3,'Emergy Costs'!$I61*$C$2,0)</f>
        <v>8214</v>
      </c>
      <c r="G48" s="129">
        <f>IF(G$5&gt;$B$1,0,$B48)+IF(G$5=$B$3,'Emergy Costs'!$I61*$C$2,0)</f>
        <v>8214</v>
      </c>
      <c r="H48" s="129">
        <f>IF(H$5&gt;$B$1,0,$B48)+IF(H$5=$B$3,'Emergy Costs'!$I61*$C$2,0)</f>
        <v>8214</v>
      </c>
      <c r="I48" s="129">
        <f>IF(I$5&gt;$B$1,0,$B48)+IF(I$5=$B$3,'Emergy Costs'!$I61*$C$2,0)</f>
        <v>8214</v>
      </c>
      <c r="J48" s="129">
        <f>IF(J$5&gt;$B$1,0,$B48)+IF(J$5=$B$3,'Emergy Costs'!$I61*$C$2,0)</f>
        <v>8214</v>
      </c>
      <c r="K48" s="129">
        <f>IF(K$5&gt;$B$1,0,$B48)+IF(K$5=$B$3,'Emergy Costs'!$I61*$C$2,0)</f>
        <v>8214</v>
      </c>
      <c r="L48" s="129">
        <f>IF(L$5&gt;$B$1,0,$B48)+IF(L$5=$B$3,'Emergy Costs'!$I61*$C$2,0)</f>
        <v>8214</v>
      </c>
      <c r="M48" s="129">
        <f>IF(M$5&gt;$B$1,0,$B48)+IF(M$5=$B$3,'Emergy Costs'!$I61*$C$2,0)</f>
        <v>8214</v>
      </c>
      <c r="N48" s="129">
        <f>IF(N$5&gt;$B$1,0,$B48)+IF(N$5=$B$3,'Emergy Costs'!$I61*$C$2,0)</f>
        <v>8214</v>
      </c>
      <c r="O48" s="129">
        <f>IF(O$5&gt;$B$1,0,$B48)+IF(O$5=$B$3,'Emergy Costs'!$I61*$C$2,0)</f>
        <v>8214</v>
      </c>
      <c r="P48" s="129">
        <f>IF(P$5&gt;$B$1,0,$B48)+IF(P$5=$B$3,'Emergy Costs'!$I61*$C$2,0)</f>
        <v>8214</v>
      </c>
      <c r="Q48" s="129">
        <f>IF(Q$5&gt;$B$1,0,$B48)+IF(Q$5=$B$3,'Emergy Costs'!$I61*$C$2,0)</f>
        <v>8214</v>
      </c>
      <c r="R48" s="129">
        <f>IF(R$5&gt;$B$1,0,$B48)+IF(R$5=$B$3,'Emergy Costs'!$I61*$C$2,0)</f>
        <v>8214</v>
      </c>
      <c r="S48" s="129">
        <f>IF(S$5&gt;$B$1,0,$B48)+IF(S$5=$B$3,'Emergy Costs'!$I61*$C$2,0)</f>
        <v>8214</v>
      </c>
      <c r="T48" s="129">
        <f>IF(T$5&gt;$B$1,0,$B48)+IF(T$5=$B$3,'Emergy Costs'!$I61*$C$2,0)</f>
        <v>8214</v>
      </c>
      <c r="U48" s="129">
        <f>IF(U$5&gt;$B$1,0,$B48)+IF(U$5=$B$3,'Emergy Costs'!$I61*$C$2,0)</f>
        <v>8214</v>
      </c>
      <c r="V48" s="129">
        <f t="shared" si="0"/>
        <v>34257</v>
      </c>
      <c r="W48" s="135">
        <f t="shared" si="1"/>
        <v>0.023386368378838958</v>
      </c>
    </row>
    <row r="49" spans="1:23" ht="12.75">
      <c r="A49" s="128">
        <f>-'Emergy Costs'!G62</f>
        <v>-424248</v>
      </c>
      <c r="B49" s="128">
        <f>+'Emergy Costs'!H62</f>
        <v>26327</v>
      </c>
      <c r="C49" s="129">
        <f>IF(C$5&gt;$B$1,0,$B49)+IF(C$5=$B$3,'Emergy Costs'!$I62*$C$2,0)</f>
        <v>26327</v>
      </c>
      <c r="D49" s="129">
        <f>IF(D$5&gt;$B$1,0,$B49)+IF(D$5=$B$3,'Emergy Costs'!$I62*$C$2,0)</f>
        <v>26327</v>
      </c>
      <c r="E49" s="129">
        <f>IF(E$5&gt;$B$1,0,$B49)+IF(E$5=$B$3,'Emergy Costs'!$I62*$C$2,0)</f>
        <v>26327</v>
      </c>
      <c r="F49" s="129">
        <f>IF(F$5&gt;$B$1,0,$B49)+IF(F$5=$B$3,'Emergy Costs'!$I62*$C$2,0)</f>
        <v>518146.70747362636</v>
      </c>
      <c r="G49" s="129">
        <f>IF(G$5&gt;$B$1,0,$B49)+IF(G$5=$B$3,'Emergy Costs'!$I62*$C$2,0)</f>
        <v>26327</v>
      </c>
      <c r="H49" s="129">
        <f>IF(H$5&gt;$B$1,0,$B49)+IF(H$5=$B$3,'Emergy Costs'!$I62*$C$2,0)</f>
        <v>26327</v>
      </c>
      <c r="I49" s="129">
        <f>IF(I$5&gt;$B$1,0,$B49)+IF(I$5=$B$3,'Emergy Costs'!$I62*$C$2,0)</f>
        <v>26327</v>
      </c>
      <c r="J49" s="129">
        <f>IF(J$5&gt;$B$1,0,$B49)+IF(J$5=$B$3,'Emergy Costs'!$I62*$C$2,0)</f>
        <v>26327</v>
      </c>
      <c r="K49" s="129">
        <f>IF(K$5&gt;$B$1,0,$B49)+IF(K$5=$B$3,'Emergy Costs'!$I62*$C$2,0)</f>
        <v>26327</v>
      </c>
      <c r="L49" s="129">
        <f>IF(L$5&gt;$B$1,0,$B49)+IF(L$5=$B$3,'Emergy Costs'!$I62*$C$2,0)</f>
        <v>26327</v>
      </c>
      <c r="M49" s="129">
        <f>IF(M$5&gt;$B$1,0,$B49)+IF(M$5=$B$3,'Emergy Costs'!$I62*$C$2,0)</f>
        <v>26327</v>
      </c>
      <c r="N49" s="129">
        <f>IF(N$5&gt;$B$1,0,$B49)+IF(N$5=$B$3,'Emergy Costs'!$I62*$C$2,0)</f>
        <v>26327</v>
      </c>
      <c r="O49" s="129">
        <f>IF(O$5&gt;$B$1,0,$B49)+IF(O$5=$B$3,'Emergy Costs'!$I62*$C$2,0)</f>
        <v>26327</v>
      </c>
      <c r="P49" s="129">
        <f>IF(P$5&gt;$B$1,0,$B49)+IF(P$5=$B$3,'Emergy Costs'!$I62*$C$2,0)</f>
        <v>26327</v>
      </c>
      <c r="Q49" s="129">
        <f>IF(Q$5&gt;$B$1,0,$B49)+IF(Q$5=$B$3,'Emergy Costs'!$I62*$C$2,0)</f>
        <v>26327</v>
      </c>
      <c r="R49" s="129">
        <f>IF(R$5&gt;$B$1,0,$B49)+IF(R$5=$B$3,'Emergy Costs'!$I62*$C$2,0)</f>
        <v>26327</v>
      </c>
      <c r="S49" s="129">
        <f>IF(S$5&gt;$B$1,0,$B49)+IF(S$5=$B$3,'Emergy Costs'!$I62*$C$2,0)</f>
        <v>26327</v>
      </c>
      <c r="T49" s="129">
        <f>IF(T$5&gt;$B$1,0,$B49)+IF(T$5=$B$3,'Emergy Costs'!$I62*$C$2,0)</f>
        <v>26327</v>
      </c>
      <c r="U49" s="129">
        <f>IF(U$5&gt;$B$1,0,$B49)+IF(U$5=$B$3,'Emergy Costs'!$I62*$C$2,0)</f>
        <v>26327</v>
      </c>
      <c r="V49" s="129">
        <f t="shared" si="0"/>
        <v>594111.7074736264</v>
      </c>
      <c r="W49" s="135">
        <v>-1</v>
      </c>
    </row>
    <row r="50" spans="1:23" ht="12.75">
      <c r="A50" s="128">
        <f>-'Emergy Costs'!G63</f>
        <v>-295796</v>
      </c>
      <c r="B50" s="128">
        <f>+'Emergy Costs'!H63</f>
        <v>500</v>
      </c>
      <c r="C50" s="129">
        <f>IF(C$5&gt;$B$1,0,$B50)+IF(C$5=$B$3,'Emergy Costs'!$I63*$C$2,0)</f>
        <v>500</v>
      </c>
      <c r="D50" s="129">
        <f>IF(D$5&gt;$B$1,0,$B50)+IF(D$5=$B$3,'Emergy Costs'!$I63*$C$2,0)</f>
        <v>500</v>
      </c>
      <c r="E50" s="129">
        <f>IF(E$5&gt;$B$1,0,$B50)+IF(E$5=$B$3,'Emergy Costs'!$I63*$C$2,0)</f>
        <v>500</v>
      </c>
      <c r="F50" s="129">
        <f>IF(F$5&gt;$B$1,0,$B50)+IF(F$5=$B$3,'Emergy Costs'!$I63*$C$2,0)</f>
        <v>500</v>
      </c>
      <c r="G50" s="129">
        <f>IF(G$5&gt;$B$1,0,$B50)+IF(G$5=$B$3,'Emergy Costs'!$I63*$C$2,0)</f>
        <v>500</v>
      </c>
      <c r="H50" s="129">
        <f>IF(H$5&gt;$B$1,0,$B50)+IF(H$5=$B$3,'Emergy Costs'!$I63*$C$2,0)</f>
        <v>500</v>
      </c>
      <c r="I50" s="129">
        <f>IF(I$5&gt;$B$1,0,$B50)+IF(I$5=$B$3,'Emergy Costs'!$I63*$C$2,0)</f>
        <v>500</v>
      </c>
      <c r="J50" s="129">
        <f>IF(J$5&gt;$B$1,0,$B50)+IF(J$5=$B$3,'Emergy Costs'!$I63*$C$2,0)</f>
        <v>500</v>
      </c>
      <c r="K50" s="129">
        <f>IF(K$5&gt;$B$1,0,$B50)+IF(K$5=$B$3,'Emergy Costs'!$I63*$C$2,0)</f>
        <v>500</v>
      </c>
      <c r="L50" s="129">
        <f>IF(L$5&gt;$B$1,0,$B50)+IF(L$5=$B$3,'Emergy Costs'!$I63*$C$2,0)</f>
        <v>500</v>
      </c>
      <c r="M50" s="129">
        <f>IF(M$5&gt;$B$1,0,$B50)+IF(M$5=$B$3,'Emergy Costs'!$I63*$C$2,0)</f>
        <v>500</v>
      </c>
      <c r="N50" s="129">
        <f>IF(N$5&gt;$B$1,0,$B50)+IF(N$5=$B$3,'Emergy Costs'!$I63*$C$2,0)</f>
        <v>500</v>
      </c>
      <c r="O50" s="129">
        <f>IF(O$5&gt;$B$1,0,$B50)+IF(O$5=$B$3,'Emergy Costs'!$I63*$C$2,0)</f>
        <v>500</v>
      </c>
      <c r="P50" s="129">
        <f>IF(P$5&gt;$B$1,0,$B50)+IF(P$5=$B$3,'Emergy Costs'!$I63*$C$2,0)</f>
        <v>500</v>
      </c>
      <c r="Q50" s="129">
        <f>IF(Q$5&gt;$B$1,0,$B50)+IF(Q$5=$B$3,'Emergy Costs'!$I63*$C$2,0)</f>
        <v>500</v>
      </c>
      <c r="R50" s="129">
        <f>IF(R$5&gt;$B$1,0,$B50)+IF(R$5=$B$3,'Emergy Costs'!$I63*$C$2,0)</f>
        <v>500</v>
      </c>
      <c r="S50" s="129">
        <f>IF(S$5&gt;$B$1,0,$B50)+IF(S$5=$B$3,'Emergy Costs'!$I63*$C$2,0)</f>
        <v>500</v>
      </c>
      <c r="T50" s="129">
        <f>IF(T$5&gt;$B$1,0,$B50)+IF(T$5=$B$3,'Emergy Costs'!$I63*$C$2,0)</f>
        <v>500</v>
      </c>
      <c r="U50" s="129">
        <f>IF(U$5&gt;$B$1,0,$B50)+IF(U$5=$B$3,'Emergy Costs'!$I63*$C$2,0)</f>
        <v>500</v>
      </c>
      <c r="V50" s="129">
        <f t="shared" si="0"/>
        <v>-285796</v>
      </c>
      <c r="W50" s="250">
        <f>IRR(A50:U50,-0.2)</f>
        <v>-0.21557955121622357</v>
      </c>
    </row>
    <row r="51" spans="1:23" ht="12.75">
      <c r="A51" s="128">
        <f>-'Emergy Costs'!G64</f>
        <v>-77464</v>
      </c>
      <c r="B51" s="128">
        <f>+'Emergy Costs'!H64</f>
        <v>1332</v>
      </c>
      <c r="C51" s="129">
        <f>IF(C$5&gt;$B$1,0,$B51)+IF(C$5=$B$3,'Emergy Costs'!$I64*$C$2,0)</f>
        <v>1332</v>
      </c>
      <c r="D51" s="129">
        <f>IF(D$5&gt;$B$1,0,$B51)+IF(D$5=$B$3,'Emergy Costs'!$I64*$C$2,0)</f>
        <v>1332</v>
      </c>
      <c r="E51" s="129">
        <f>IF(E$5&gt;$B$1,0,$B51)+IF(E$5=$B$3,'Emergy Costs'!$I64*$C$2,0)</f>
        <v>1332</v>
      </c>
      <c r="F51" s="129">
        <f>IF(F$5&gt;$B$1,0,$B51)+IF(F$5=$B$3,'Emergy Costs'!$I64*$C$2,0)</f>
        <v>91134.00689157519</v>
      </c>
      <c r="G51" s="129">
        <f>IF(G$5&gt;$B$1,0,$B51)+IF(G$5=$B$3,'Emergy Costs'!$I64*$C$2,0)</f>
        <v>1332</v>
      </c>
      <c r="H51" s="129">
        <f>IF(H$5&gt;$B$1,0,$B51)+IF(H$5=$B$3,'Emergy Costs'!$I64*$C$2,0)</f>
        <v>1332</v>
      </c>
      <c r="I51" s="129">
        <f>IF(I$5&gt;$B$1,0,$B51)+IF(I$5=$B$3,'Emergy Costs'!$I64*$C$2,0)</f>
        <v>1332</v>
      </c>
      <c r="J51" s="129">
        <f>IF(J$5&gt;$B$1,0,$B51)+IF(J$5=$B$3,'Emergy Costs'!$I64*$C$2,0)</f>
        <v>1332</v>
      </c>
      <c r="K51" s="129">
        <f>IF(K$5&gt;$B$1,0,$B51)+IF(K$5=$B$3,'Emergy Costs'!$I64*$C$2,0)</f>
        <v>1332</v>
      </c>
      <c r="L51" s="129">
        <f>IF(L$5&gt;$B$1,0,$B51)+IF(L$5=$B$3,'Emergy Costs'!$I64*$C$2,0)</f>
        <v>1332</v>
      </c>
      <c r="M51" s="129">
        <f>IF(M$5&gt;$B$1,0,$B51)+IF(M$5=$B$3,'Emergy Costs'!$I64*$C$2,0)</f>
        <v>1332</v>
      </c>
      <c r="N51" s="129">
        <f>IF(N$5&gt;$B$1,0,$B51)+IF(N$5=$B$3,'Emergy Costs'!$I64*$C$2,0)</f>
        <v>1332</v>
      </c>
      <c r="O51" s="129">
        <f>IF(O$5&gt;$B$1,0,$B51)+IF(O$5=$B$3,'Emergy Costs'!$I64*$C$2,0)</f>
        <v>1332</v>
      </c>
      <c r="P51" s="129">
        <f>IF(P$5&gt;$B$1,0,$B51)+IF(P$5=$B$3,'Emergy Costs'!$I64*$C$2,0)</f>
        <v>1332</v>
      </c>
      <c r="Q51" s="129">
        <f>IF(Q$5&gt;$B$1,0,$B51)+IF(Q$5=$B$3,'Emergy Costs'!$I64*$C$2,0)</f>
        <v>1332</v>
      </c>
      <c r="R51" s="129">
        <f>IF(R$5&gt;$B$1,0,$B51)+IF(R$5=$B$3,'Emergy Costs'!$I64*$C$2,0)</f>
        <v>1332</v>
      </c>
      <c r="S51" s="129">
        <f>IF(S$5&gt;$B$1,0,$B51)+IF(S$5=$B$3,'Emergy Costs'!$I64*$C$2,0)</f>
        <v>1332</v>
      </c>
      <c r="T51" s="129">
        <f>IF(T$5&gt;$B$1,0,$B51)+IF(T$5=$B$3,'Emergy Costs'!$I64*$C$2,0)</f>
        <v>1332</v>
      </c>
      <c r="U51" s="129">
        <f>IF(U$5&gt;$B$1,0,$B51)+IF(U$5=$B$3,'Emergy Costs'!$I64*$C$2,0)</f>
        <v>1332</v>
      </c>
      <c r="V51" s="129">
        <f t="shared" si="0"/>
        <v>38978.00689157519</v>
      </c>
      <c r="W51" s="135">
        <f t="shared" si="1"/>
        <v>0.07166052552798241</v>
      </c>
    </row>
    <row r="52" spans="1:23" ht="12.75">
      <c r="A52" s="128">
        <f>-'Emergy Costs'!G65</f>
        <v>-40139</v>
      </c>
      <c r="B52" s="128">
        <f>+'Emergy Costs'!H65</f>
        <v>2500</v>
      </c>
      <c r="C52" s="129">
        <f>IF(C$5&gt;$B$1,0,$B52)+IF(C$5=$B$3,'Emergy Costs'!$I65*$C$2,0)</f>
        <v>2500</v>
      </c>
      <c r="D52" s="129">
        <f>IF(D$5&gt;$B$1,0,$B52)+IF(D$5=$B$3,'Emergy Costs'!$I65*$C$2,0)</f>
        <v>2500</v>
      </c>
      <c r="E52" s="129">
        <f>IF(E$5&gt;$B$1,0,$B52)+IF(E$5=$B$3,'Emergy Costs'!$I65*$C$2,0)</f>
        <v>2500</v>
      </c>
      <c r="F52" s="129">
        <f>IF(F$5&gt;$B$1,0,$B52)+IF(F$5=$B$3,'Emergy Costs'!$I65*$C$2,0)</f>
        <v>49032.102068327695</v>
      </c>
      <c r="G52" s="129">
        <f>IF(G$5&gt;$B$1,0,$B52)+IF(G$5=$B$3,'Emergy Costs'!$I65*$C$2,0)</f>
        <v>2500</v>
      </c>
      <c r="H52" s="129">
        <f>IF(H$5&gt;$B$1,0,$B52)+IF(H$5=$B$3,'Emergy Costs'!$I65*$C$2,0)</f>
        <v>2500</v>
      </c>
      <c r="I52" s="129">
        <f>IF(I$5&gt;$B$1,0,$B52)+IF(I$5=$B$3,'Emergy Costs'!$I65*$C$2,0)</f>
        <v>2500</v>
      </c>
      <c r="J52" s="129">
        <f>IF(J$5&gt;$B$1,0,$B52)+IF(J$5=$B$3,'Emergy Costs'!$I65*$C$2,0)</f>
        <v>2500</v>
      </c>
      <c r="K52" s="129">
        <f>IF(K$5&gt;$B$1,0,$B52)+IF(K$5=$B$3,'Emergy Costs'!$I65*$C$2,0)</f>
        <v>2500</v>
      </c>
      <c r="L52" s="129">
        <f>IF(L$5&gt;$B$1,0,$B52)+IF(L$5=$B$3,'Emergy Costs'!$I65*$C$2,0)</f>
        <v>2500</v>
      </c>
      <c r="M52" s="129">
        <f>IF(M$5&gt;$B$1,0,$B52)+IF(M$5=$B$3,'Emergy Costs'!$I65*$C$2,0)</f>
        <v>2500</v>
      </c>
      <c r="N52" s="129">
        <f>IF(N$5&gt;$B$1,0,$B52)+IF(N$5=$B$3,'Emergy Costs'!$I65*$C$2,0)</f>
        <v>2500</v>
      </c>
      <c r="O52" s="129">
        <f>IF(O$5&gt;$B$1,0,$B52)+IF(O$5=$B$3,'Emergy Costs'!$I65*$C$2,0)</f>
        <v>2500</v>
      </c>
      <c r="P52" s="129">
        <f>IF(P$5&gt;$B$1,0,$B52)+IF(P$5=$B$3,'Emergy Costs'!$I65*$C$2,0)</f>
        <v>2500</v>
      </c>
      <c r="Q52" s="129">
        <f>IF(Q$5&gt;$B$1,0,$B52)+IF(Q$5=$B$3,'Emergy Costs'!$I65*$C$2,0)</f>
        <v>2500</v>
      </c>
      <c r="R52" s="129">
        <f>IF(R$5&gt;$B$1,0,$B52)+IF(R$5=$B$3,'Emergy Costs'!$I65*$C$2,0)</f>
        <v>2500</v>
      </c>
      <c r="S52" s="129">
        <f>IF(S$5&gt;$B$1,0,$B52)+IF(S$5=$B$3,'Emergy Costs'!$I65*$C$2,0)</f>
        <v>2500</v>
      </c>
      <c r="T52" s="129">
        <f>IF(T$5&gt;$B$1,0,$B52)+IF(T$5=$B$3,'Emergy Costs'!$I65*$C$2,0)</f>
        <v>2500</v>
      </c>
      <c r="U52" s="129">
        <f>IF(U$5&gt;$B$1,0,$B52)+IF(U$5=$B$3,'Emergy Costs'!$I65*$C$2,0)</f>
        <v>2500</v>
      </c>
      <c r="V52" s="129">
        <f t="shared" si="0"/>
        <v>56393.102068327695</v>
      </c>
      <c r="W52" s="135">
        <f t="shared" si="1"/>
        <v>0.14294121558051393</v>
      </c>
    </row>
    <row r="53" spans="1:23" ht="12.75">
      <c r="A53" s="128">
        <f>-'Emergy Costs'!G66</f>
        <v>-17961</v>
      </c>
      <c r="B53" s="128">
        <f>+'Emergy Costs'!H66</f>
        <v>500</v>
      </c>
      <c r="C53" s="129">
        <f>IF(C$5&gt;$B$1,0,$B53)+IF(C$5=$B$3,'Emergy Costs'!$I66*$C$2,0)</f>
        <v>500</v>
      </c>
      <c r="D53" s="129">
        <f>IF(D$5&gt;$B$1,0,$B53)+IF(D$5=$B$3,'Emergy Costs'!$I66*$C$2,0)</f>
        <v>500</v>
      </c>
      <c r="E53" s="129">
        <f>IF(E$5&gt;$B$1,0,$B53)+IF(E$5=$B$3,'Emergy Costs'!$I66*$C$2,0)</f>
        <v>500</v>
      </c>
      <c r="F53" s="129">
        <f>IF(F$5&gt;$B$1,0,$B53)+IF(F$5=$B$3,'Emergy Costs'!$I66*$C$2,0)</f>
        <v>500</v>
      </c>
      <c r="G53" s="129">
        <f>IF(G$5&gt;$B$1,0,$B53)+IF(G$5=$B$3,'Emergy Costs'!$I66*$C$2,0)</f>
        <v>500</v>
      </c>
      <c r="H53" s="129">
        <f>IF(H$5&gt;$B$1,0,$B53)+IF(H$5=$B$3,'Emergy Costs'!$I66*$C$2,0)</f>
        <v>500</v>
      </c>
      <c r="I53" s="129">
        <f>IF(I$5&gt;$B$1,0,$B53)+IF(I$5=$B$3,'Emergy Costs'!$I66*$C$2,0)</f>
        <v>500</v>
      </c>
      <c r="J53" s="129">
        <f>IF(J$5&gt;$B$1,0,$B53)+IF(J$5=$B$3,'Emergy Costs'!$I66*$C$2,0)</f>
        <v>500</v>
      </c>
      <c r="K53" s="129">
        <f>IF(K$5&gt;$B$1,0,$B53)+IF(K$5=$B$3,'Emergy Costs'!$I66*$C$2,0)</f>
        <v>500</v>
      </c>
      <c r="L53" s="129">
        <f>IF(L$5&gt;$B$1,0,$B53)+IF(L$5=$B$3,'Emergy Costs'!$I66*$C$2,0)</f>
        <v>500</v>
      </c>
      <c r="M53" s="129">
        <f>IF(M$5&gt;$B$1,0,$B53)+IF(M$5=$B$3,'Emergy Costs'!$I66*$C$2,0)</f>
        <v>500</v>
      </c>
      <c r="N53" s="129">
        <f>IF(N$5&gt;$B$1,0,$B53)+IF(N$5=$B$3,'Emergy Costs'!$I66*$C$2,0)</f>
        <v>500</v>
      </c>
      <c r="O53" s="129">
        <f>IF(O$5&gt;$B$1,0,$B53)+IF(O$5=$B$3,'Emergy Costs'!$I66*$C$2,0)</f>
        <v>500</v>
      </c>
      <c r="P53" s="129">
        <f>IF(P$5&gt;$B$1,0,$B53)+IF(P$5=$B$3,'Emergy Costs'!$I66*$C$2,0)</f>
        <v>500</v>
      </c>
      <c r="Q53" s="129">
        <f>IF(Q$5&gt;$B$1,0,$B53)+IF(Q$5=$B$3,'Emergy Costs'!$I66*$C$2,0)</f>
        <v>500</v>
      </c>
      <c r="R53" s="129">
        <f>IF(R$5&gt;$B$1,0,$B53)+IF(R$5=$B$3,'Emergy Costs'!$I66*$C$2,0)</f>
        <v>500</v>
      </c>
      <c r="S53" s="129">
        <f>IF(S$5&gt;$B$1,0,$B53)+IF(S$5=$B$3,'Emergy Costs'!$I66*$C$2,0)</f>
        <v>500</v>
      </c>
      <c r="T53" s="129">
        <f>IF(T$5&gt;$B$1,0,$B53)+IF(T$5=$B$3,'Emergy Costs'!$I66*$C$2,0)</f>
        <v>500</v>
      </c>
      <c r="U53" s="129">
        <f>IF(U$5&gt;$B$1,0,$B53)+IF(U$5=$B$3,'Emergy Costs'!$I66*$C$2,0)</f>
        <v>500</v>
      </c>
      <c r="V53" s="129">
        <f t="shared" si="0"/>
        <v>-7961</v>
      </c>
      <c r="W53" s="135">
        <f>IRR(A53:U53,-0.99)</f>
        <v>-0.05028664197219754</v>
      </c>
    </row>
    <row r="54" spans="1:23" ht="12.75">
      <c r="A54" s="128">
        <f>-'Emergy Costs'!G67</f>
        <v>-136921</v>
      </c>
      <c r="B54" s="128">
        <f>+'Emergy Costs'!H67</f>
        <v>3000</v>
      </c>
      <c r="C54" s="129">
        <f>IF(C$5&gt;$B$1,0,$B54)+IF(C$5=$B$3,'Emergy Costs'!$I67*$C$2,0)</f>
        <v>3000</v>
      </c>
      <c r="D54" s="129">
        <f>IF(D$5&gt;$B$1,0,$B54)+IF(D$5=$B$3,'Emergy Costs'!$I67*$C$2,0)</f>
        <v>3000</v>
      </c>
      <c r="E54" s="129">
        <f>IF(E$5&gt;$B$1,0,$B54)+IF(E$5=$B$3,'Emergy Costs'!$I67*$C$2,0)</f>
        <v>3000</v>
      </c>
      <c r="F54" s="129">
        <f>IF(F$5&gt;$B$1,0,$B54)+IF(F$5=$B$3,'Emergy Costs'!$I67*$C$2,0)</f>
        <v>3000</v>
      </c>
      <c r="G54" s="129">
        <f>IF(G$5&gt;$B$1,0,$B54)+IF(G$5=$B$3,'Emergy Costs'!$I67*$C$2,0)</f>
        <v>3000</v>
      </c>
      <c r="H54" s="129">
        <f>IF(H$5&gt;$B$1,0,$B54)+IF(H$5=$B$3,'Emergy Costs'!$I67*$C$2,0)</f>
        <v>3000</v>
      </c>
      <c r="I54" s="129">
        <f>IF(I$5&gt;$B$1,0,$B54)+IF(I$5=$B$3,'Emergy Costs'!$I67*$C$2,0)</f>
        <v>3000</v>
      </c>
      <c r="J54" s="129">
        <f>IF(J$5&gt;$B$1,0,$B54)+IF(J$5=$B$3,'Emergy Costs'!$I67*$C$2,0)</f>
        <v>3000</v>
      </c>
      <c r="K54" s="129">
        <f>IF(K$5&gt;$B$1,0,$B54)+IF(K$5=$B$3,'Emergy Costs'!$I67*$C$2,0)</f>
        <v>3000</v>
      </c>
      <c r="L54" s="129">
        <f>IF(L$5&gt;$B$1,0,$B54)+IF(L$5=$B$3,'Emergy Costs'!$I67*$C$2,0)</f>
        <v>3000</v>
      </c>
      <c r="M54" s="129">
        <f>IF(M$5&gt;$B$1,0,$B54)+IF(M$5=$B$3,'Emergy Costs'!$I67*$C$2,0)</f>
        <v>3000</v>
      </c>
      <c r="N54" s="129">
        <f>IF(N$5&gt;$B$1,0,$B54)+IF(N$5=$B$3,'Emergy Costs'!$I67*$C$2,0)</f>
        <v>3000</v>
      </c>
      <c r="O54" s="129">
        <f>IF(O$5&gt;$B$1,0,$B54)+IF(O$5=$B$3,'Emergy Costs'!$I67*$C$2,0)</f>
        <v>3000</v>
      </c>
      <c r="P54" s="129">
        <f>IF(P$5&gt;$B$1,0,$B54)+IF(P$5=$B$3,'Emergy Costs'!$I67*$C$2,0)</f>
        <v>3000</v>
      </c>
      <c r="Q54" s="129">
        <f>IF(Q$5&gt;$B$1,0,$B54)+IF(Q$5=$B$3,'Emergy Costs'!$I67*$C$2,0)</f>
        <v>3000</v>
      </c>
      <c r="R54" s="129">
        <f>IF(R$5&gt;$B$1,0,$B54)+IF(R$5=$B$3,'Emergy Costs'!$I67*$C$2,0)</f>
        <v>3000</v>
      </c>
      <c r="S54" s="129">
        <f>IF(S$5&gt;$B$1,0,$B54)+IF(S$5=$B$3,'Emergy Costs'!$I67*$C$2,0)</f>
        <v>3000</v>
      </c>
      <c r="T54" s="129">
        <f>IF(T$5&gt;$B$1,0,$B54)+IF(T$5=$B$3,'Emergy Costs'!$I67*$C$2,0)</f>
        <v>3000</v>
      </c>
      <c r="U54" s="129">
        <f>IF(U$5&gt;$B$1,0,$B54)+IF(U$5=$B$3,'Emergy Costs'!$I67*$C$2,0)</f>
        <v>3000</v>
      </c>
      <c r="V54" s="129">
        <f t="shared" si="0"/>
        <v>-76921</v>
      </c>
      <c r="W54" s="250">
        <f>IRR(A54:U54,0.01)</f>
        <v>-0.06832828412785784</v>
      </c>
    </row>
    <row r="55" spans="1:23" ht="12.75">
      <c r="A55" s="128">
        <f>-'Emergy Costs'!G68</f>
        <v>-6957</v>
      </c>
      <c r="B55" s="128">
        <f>+'Emergy Costs'!H68</f>
        <v>342</v>
      </c>
      <c r="C55" s="129">
        <f>IF(C$5&gt;$B$1,0,$B55)+IF(C$5=$B$3,'Emergy Costs'!$I68*$C$2,0)</f>
        <v>342</v>
      </c>
      <c r="D55" s="129">
        <f>IF(D$5&gt;$B$1,0,$B55)+IF(D$5=$B$3,'Emergy Costs'!$I68*$C$2,0)</f>
        <v>342</v>
      </c>
      <c r="E55" s="129">
        <f>IF(E$5&gt;$B$1,0,$B55)+IF(E$5=$B$3,'Emergy Costs'!$I68*$C$2,0)</f>
        <v>342</v>
      </c>
      <c r="F55" s="129">
        <f>IF(F$5&gt;$B$1,0,$B55)+IF(F$5=$B$3,'Emergy Costs'!$I68*$C$2,0)</f>
        <v>8407.069734905099</v>
      </c>
      <c r="G55" s="129">
        <f>IF(G$5&gt;$B$1,0,$B55)+IF(G$5=$B$3,'Emergy Costs'!$I68*$C$2,0)</f>
        <v>342</v>
      </c>
      <c r="H55" s="129">
        <f>IF(H$5&gt;$B$1,0,$B55)+IF(H$5=$B$3,'Emergy Costs'!$I68*$C$2,0)</f>
        <v>342</v>
      </c>
      <c r="I55" s="129">
        <f>IF(I$5&gt;$B$1,0,$B55)+IF(I$5=$B$3,'Emergy Costs'!$I68*$C$2,0)</f>
        <v>342</v>
      </c>
      <c r="J55" s="129">
        <f>IF(J$5&gt;$B$1,0,$B55)+IF(J$5=$B$3,'Emergy Costs'!$I68*$C$2,0)</f>
        <v>342</v>
      </c>
      <c r="K55" s="129">
        <f>IF(K$5&gt;$B$1,0,$B55)+IF(K$5=$B$3,'Emergy Costs'!$I68*$C$2,0)</f>
        <v>342</v>
      </c>
      <c r="L55" s="129">
        <f>IF(L$5&gt;$B$1,0,$B55)+IF(L$5=$B$3,'Emergy Costs'!$I68*$C$2,0)</f>
        <v>342</v>
      </c>
      <c r="M55" s="129">
        <f>IF(M$5&gt;$B$1,0,$B55)+IF(M$5=$B$3,'Emergy Costs'!$I68*$C$2,0)</f>
        <v>342</v>
      </c>
      <c r="N55" s="129">
        <f>IF(N$5&gt;$B$1,0,$B55)+IF(N$5=$B$3,'Emergy Costs'!$I68*$C$2,0)</f>
        <v>342</v>
      </c>
      <c r="O55" s="129">
        <f>IF(O$5&gt;$B$1,0,$B55)+IF(O$5=$B$3,'Emergy Costs'!$I68*$C$2,0)</f>
        <v>342</v>
      </c>
      <c r="P55" s="129">
        <f>IF(P$5&gt;$B$1,0,$B55)+IF(P$5=$B$3,'Emergy Costs'!$I68*$C$2,0)</f>
        <v>342</v>
      </c>
      <c r="Q55" s="129">
        <f>IF(Q$5&gt;$B$1,0,$B55)+IF(Q$5=$B$3,'Emergy Costs'!$I68*$C$2,0)</f>
        <v>342</v>
      </c>
      <c r="R55" s="129">
        <f>IF(R$5&gt;$B$1,0,$B55)+IF(R$5=$B$3,'Emergy Costs'!$I68*$C$2,0)</f>
        <v>342</v>
      </c>
      <c r="S55" s="129">
        <f>IF(S$5&gt;$B$1,0,$B55)+IF(S$5=$B$3,'Emergy Costs'!$I68*$C$2,0)</f>
        <v>342</v>
      </c>
      <c r="T55" s="129">
        <f>IF(T$5&gt;$B$1,0,$B55)+IF(T$5=$B$3,'Emergy Costs'!$I68*$C$2,0)</f>
        <v>342</v>
      </c>
      <c r="U55" s="129">
        <f>IF(U$5&gt;$B$1,0,$B55)+IF(U$5=$B$3,'Emergy Costs'!$I68*$C$2,0)</f>
        <v>342</v>
      </c>
      <c r="V55" s="129">
        <f t="shared" si="0"/>
        <v>7948.069734905099</v>
      </c>
      <c r="W55" s="135">
        <f t="shared" si="1"/>
        <v>0.12485996918187796</v>
      </c>
    </row>
    <row r="56" spans="1:23" ht="12.75">
      <c r="A56" s="128">
        <f>-'Emergy Costs'!G69</f>
        <v>-39831</v>
      </c>
      <c r="B56" s="128">
        <f>+'Emergy Costs'!H69</f>
        <v>500</v>
      </c>
      <c r="C56" s="129">
        <f>IF(C$5&gt;$B$1,0,$B56)+IF(C$5=$B$3,'Emergy Costs'!$I69*$C$2,0)</f>
        <v>500</v>
      </c>
      <c r="D56" s="129">
        <f>IF(D$5&gt;$B$1,0,$B56)+IF(D$5=$B$3,'Emergy Costs'!$I69*$C$2,0)</f>
        <v>500</v>
      </c>
      <c r="E56" s="129">
        <f>IF(E$5&gt;$B$1,0,$B56)+IF(E$5=$B$3,'Emergy Costs'!$I69*$C$2,0)</f>
        <v>500</v>
      </c>
      <c r="F56" s="129">
        <f>IF(F$5&gt;$B$1,0,$B56)+IF(F$5=$B$3,'Emergy Costs'!$I69*$C$2,0)</f>
        <v>500</v>
      </c>
      <c r="G56" s="129">
        <f>IF(G$5&gt;$B$1,0,$B56)+IF(G$5=$B$3,'Emergy Costs'!$I69*$C$2,0)</f>
        <v>500</v>
      </c>
      <c r="H56" s="129">
        <f>IF(H$5&gt;$B$1,0,$B56)+IF(H$5=$B$3,'Emergy Costs'!$I69*$C$2,0)</f>
        <v>500</v>
      </c>
      <c r="I56" s="129">
        <f>IF(I$5&gt;$B$1,0,$B56)+IF(I$5=$B$3,'Emergy Costs'!$I69*$C$2,0)</f>
        <v>500</v>
      </c>
      <c r="J56" s="129">
        <f>IF(J$5&gt;$B$1,0,$B56)+IF(J$5=$B$3,'Emergy Costs'!$I69*$C$2,0)</f>
        <v>500</v>
      </c>
      <c r="K56" s="129">
        <f>IF(K$5&gt;$B$1,0,$B56)+IF(K$5=$B$3,'Emergy Costs'!$I69*$C$2,0)</f>
        <v>500</v>
      </c>
      <c r="L56" s="129">
        <f>IF(L$5&gt;$B$1,0,$B56)+IF(L$5=$B$3,'Emergy Costs'!$I69*$C$2,0)</f>
        <v>500</v>
      </c>
      <c r="M56" s="129">
        <f>IF(M$5&gt;$B$1,0,$B56)+IF(M$5=$B$3,'Emergy Costs'!$I69*$C$2,0)</f>
        <v>500</v>
      </c>
      <c r="N56" s="129">
        <f>IF(N$5&gt;$B$1,0,$B56)+IF(N$5=$B$3,'Emergy Costs'!$I69*$C$2,0)</f>
        <v>500</v>
      </c>
      <c r="O56" s="129">
        <f>IF(O$5&gt;$B$1,0,$B56)+IF(O$5=$B$3,'Emergy Costs'!$I69*$C$2,0)</f>
        <v>500</v>
      </c>
      <c r="P56" s="129">
        <f>IF(P$5&gt;$B$1,0,$B56)+IF(P$5=$B$3,'Emergy Costs'!$I69*$C$2,0)</f>
        <v>500</v>
      </c>
      <c r="Q56" s="129">
        <f>IF(Q$5&gt;$B$1,0,$B56)+IF(Q$5=$B$3,'Emergy Costs'!$I69*$C$2,0)</f>
        <v>500</v>
      </c>
      <c r="R56" s="129">
        <f>IF(R$5&gt;$B$1,0,$B56)+IF(R$5=$B$3,'Emergy Costs'!$I69*$C$2,0)</f>
        <v>500</v>
      </c>
      <c r="S56" s="129">
        <f>IF(S$5&gt;$B$1,0,$B56)+IF(S$5=$B$3,'Emergy Costs'!$I69*$C$2,0)</f>
        <v>500</v>
      </c>
      <c r="T56" s="129">
        <f>IF(T$5&gt;$B$1,0,$B56)+IF(T$5=$B$3,'Emergy Costs'!$I69*$C$2,0)</f>
        <v>500</v>
      </c>
      <c r="U56" s="129">
        <f>IF(U$5&gt;$B$1,0,$B56)+IF(U$5=$B$3,'Emergy Costs'!$I69*$C$2,0)</f>
        <v>500</v>
      </c>
      <c r="V56" s="129">
        <f t="shared" si="0"/>
        <v>-29831</v>
      </c>
      <c r="W56" s="135">
        <f>IRR(A56:U56,-0.1)</f>
        <v>-0.10631593428665981</v>
      </c>
    </row>
    <row r="57" spans="1:23" ht="12.75">
      <c r="A57" s="128">
        <f>-'Emergy Costs'!G70</f>
        <v>-87500</v>
      </c>
      <c r="B57" s="128">
        <f>+'Emergy Costs'!H70</f>
        <v>0</v>
      </c>
      <c r="C57" s="129">
        <f>IF(C$5&gt;$B$1,0,$B57)+IF(C$5=$B$3,'Emergy Costs'!$I70*$C$2,0)</f>
        <v>0</v>
      </c>
      <c r="D57" s="129">
        <f>IF(D$5&gt;$B$1,0,$B57)+IF(D$5=$B$3,'Emergy Costs'!$I70*$C$2,0)</f>
        <v>0</v>
      </c>
      <c r="E57" s="129">
        <f>IF(E$5&gt;$B$1,0,$B57)+IF(E$5=$B$3,'Emergy Costs'!$I70*$C$2,0)</f>
        <v>0</v>
      </c>
      <c r="F57" s="129">
        <f>IF(F$5&gt;$B$1,0,$B57)+IF(F$5=$B$3,'Emergy Costs'!$I70*$C$2,0)</f>
        <v>0</v>
      </c>
      <c r="G57" s="129">
        <f>IF(G$5&gt;$B$1,0,$B57)+IF(G$5=$B$3,'Emergy Costs'!$I70*$C$2,0)</f>
        <v>0</v>
      </c>
      <c r="H57" s="129">
        <f>IF(H$5&gt;$B$1,0,$B57)+IF(H$5=$B$3,'Emergy Costs'!$I70*$C$2,0)</f>
        <v>0</v>
      </c>
      <c r="I57" s="129">
        <f>IF(I$5&gt;$B$1,0,$B57)+IF(I$5=$B$3,'Emergy Costs'!$I70*$C$2,0)</f>
        <v>0</v>
      </c>
      <c r="J57" s="129">
        <f>IF(J$5&gt;$B$1,0,$B57)+IF(J$5=$B$3,'Emergy Costs'!$I70*$C$2,0)</f>
        <v>0</v>
      </c>
      <c r="K57" s="129">
        <f>IF(K$5&gt;$B$1,0,$B57)+IF(K$5=$B$3,'Emergy Costs'!$I70*$C$2,0)</f>
        <v>0</v>
      </c>
      <c r="L57" s="129">
        <f>IF(L$5&gt;$B$1,0,$B57)+IF(L$5=$B$3,'Emergy Costs'!$I70*$C$2,0)</f>
        <v>0</v>
      </c>
      <c r="M57" s="129">
        <f>IF(M$5&gt;$B$1,0,$B57)+IF(M$5=$B$3,'Emergy Costs'!$I70*$C$2,0)</f>
        <v>0</v>
      </c>
      <c r="N57" s="129">
        <f>IF(N$5&gt;$B$1,0,$B57)+IF(N$5=$B$3,'Emergy Costs'!$I70*$C$2,0)</f>
        <v>0</v>
      </c>
      <c r="O57" s="129">
        <f>IF(O$5&gt;$B$1,0,$B57)+IF(O$5=$B$3,'Emergy Costs'!$I70*$C$2,0)</f>
        <v>0</v>
      </c>
      <c r="P57" s="129">
        <f>IF(P$5&gt;$B$1,0,$B57)+IF(P$5=$B$3,'Emergy Costs'!$I70*$C$2,0)</f>
        <v>0</v>
      </c>
      <c r="Q57" s="129">
        <f>IF(Q$5&gt;$B$1,0,$B57)+IF(Q$5=$B$3,'Emergy Costs'!$I70*$C$2,0)</f>
        <v>0</v>
      </c>
      <c r="R57" s="129">
        <f>IF(R$5&gt;$B$1,0,$B57)+IF(R$5=$B$3,'Emergy Costs'!$I70*$C$2,0)</f>
        <v>0</v>
      </c>
      <c r="S57" s="129">
        <f>IF(S$5&gt;$B$1,0,$B57)+IF(S$5=$B$3,'Emergy Costs'!$I70*$C$2,0)</f>
        <v>0</v>
      </c>
      <c r="T57" s="129">
        <f>IF(T$5&gt;$B$1,0,$B57)+IF(T$5=$B$3,'Emergy Costs'!$I70*$C$2,0)</f>
        <v>0</v>
      </c>
      <c r="U57" s="129">
        <f>IF(U$5&gt;$B$1,0,$B57)+IF(U$5=$B$3,'Emergy Costs'!$I70*$C$2,0)</f>
        <v>0</v>
      </c>
      <c r="V57" s="129">
        <f t="shared" si="0"/>
        <v>-87500</v>
      </c>
      <c r="W57" s="135">
        <v>-1</v>
      </c>
    </row>
    <row r="58" spans="1:23" ht="12.75">
      <c r="A58" s="128" t="e">
        <f>-'Emergy Costs'!#REF!</f>
        <v>#REF!</v>
      </c>
      <c r="B58" s="128" t="e">
        <f>+'Emergy Costs'!#REF!</f>
        <v>#REF!</v>
      </c>
      <c r="C58" s="129" t="e">
        <f>IF(C$5&gt;$B$1,0,$B58)+IF(C$5=$B$3,'Emergy Costs'!#REF!*$C$2,0)</f>
        <v>#REF!</v>
      </c>
      <c r="D58" s="129" t="e">
        <f>IF(D$5&gt;$B$1,0,$B58)+IF(D$5=$B$3,'Emergy Costs'!#REF!*$C$2,0)</f>
        <v>#REF!</v>
      </c>
      <c r="E58" s="129" t="e">
        <f>IF(E$5&gt;$B$1,0,$B58)+IF(E$5=$B$3,'Emergy Costs'!#REF!*$C$2,0)</f>
        <v>#REF!</v>
      </c>
      <c r="F58" s="129" t="e">
        <f>IF(F$5&gt;$B$1,0,$B58)+IF(F$5=$B$3,'Emergy Costs'!#REF!*$C$2,0)</f>
        <v>#REF!</v>
      </c>
      <c r="G58" s="129" t="e">
        <f>IF(G$5&gt;$B$1,0,$B58)+IF(G$5=$B$3,'Emergy Costs'!#REF!*$C$2,0)</f>
        <v>#REF!</v>
      </c>
      <c r="H58" s="129" t="e">
        <f>IF(H$5&gt;$B$1,0,$B58)+IF(H$5=$B$3,'Emergy Costs'!#REF!*$C$2,0)</f>
        <v>#REF!</v>
      </c>
      <c r="I58" s="129" t="e">
        <f>IF(I$5&gt;$B$1,0,$B58)+IF(I$5=$B$3,'Emergy Costs'!#REF!*$C$2,0)</f>
        <v>#REF!</v>
      </c>
      <c r="J58" s="129" t="e">
        <f>IF(J$5&gt;$B$1,0,$B58)+IF(J$5=$B$3,'Emergy Costs'!#REF!*$C$2,0)</f>
        <v>#REF!</v>
      </c>
      <c r="K58" s="129" t="e">
        <f>IF(K$5&gt;$B$1,0,$B58)+IF(K$5=$B$3,'Emergy Costs'!#REF!*$C$2,0)</f>
        <v>#REF!</v>
      </c>
      <c r="L58" s="129" t="e">
        <f>IF(L$5&gt;$B$1,0,$B58)+IF(L$5=$B$3,'Emergy Costs'!#REF!*$C$2,0)</f>
        <v>#REF!</v>
      </c>
      <c r="M58" s="129" t="e">
        <f>IF(M$5&gt;$B$1,0,$B58)+IF(M$5=$B$3,'Emergy Costs'!#REF!*$C$2,0)</f>
        <v>#REF!</v>
      </c>
      <c r="N58" s="129" t="e">
        <f>IF(N$5&gt;$B$1,0,$B58)+IF(N$5=$B$3,'Emergy Costs'!#REF!*$C$2,0)</f>
        <v>#REF!</v>
      </c>
      <c r="O58" s="129" t="e">
        <f>IF(O$5&gt;$B$1,0,$B58)+IF(O$5=$B$3,'Emergy Costs'!#REF!*$C$2,0)</f>
        <v>#REF!</v>
      </c>
      <c r="P58" s="129" t="e">
        <f>IF(P$5&gt;$B$1,0,$B58)+IF(P$5=$B$3,'Emergy Costs'!#REF!*$C$2,0)</f>
        <v>#REF!</v>
      </c>
      <c r="Q58" s="129" t="e">
        <f>IF(Q$5&gt;$B$1,0,$B58)+IF(Q$5=$B$3,'Emergy Costs'!#REF!*$C$2,0)</f>
        <v>#REF!</v>
      </c>
      <c r="R58" s="129" t="e">
        <f>IF(R$5&gt;$B$1,0,$B58)+IF(R$5=$B$3,'Emergy Costs'!#REF!*$C$2,0)</f>
        <v>#REF!</v>
      </c>
      <c r="S58" s="129" t="e">
        <f>IF(S$5&gt;$B$1,0,$B58)+IF(S$5=$B$3,'Emergy Costs'!#REF!*$C$2,0)</f>
        <v>#REF!</v>
      </c>
      <c r="T58" s="129" t="e">
        <f>IF(T$5&gt;$B$1,0,$B58)+IF(T$5=$B$3,'Emergy Costs'!#REF!*$C$2,0)</f>
        <v>#REF!</v>
      </c>
      <c r="U58" s="129" t="e">
        <f>IF(U$5&gt;$B$1,0,$B58)+IF(U$5=$B$3,'Emergy Costs'!#REF!*$C$2,0)</f>
        <v>#REF!</v>
      </c>
      <c r="V58" s="129" t="e">
        <f t="shared" si="0"/>
        <v>#REF!</v>
      </c>
      <c r="W58" s="135" t="e">
        <f>IRR(A58:U58,-0.1)</f>
        <v>#VALUE!</v>
      </c>
    </row>
    <row r="59" spans="1:23" ht="12.75">
      <c r="A59" s="128" t="e">
        <f>-'Emergy Costs'!#REF!</f>
        <v>#REF!</v>
      </c>
      <c r="B59" s="128" t="e">
        <f>+'Emergy Costs'!#REF!</f>
        <v>#REF!</v>
      </c>
      <c r="C59" s="129" t="e">
        <f>IF(C$5&gt;$B$1,0,$B59)+IF(C$5=$B$3,'Emergy Costs'!#REF!*$C$2,0)</f>
        <v>#REF!</v>
      </c>
      <c r="D59" s="129" t="e">
        <f>IF(D$5&gt;$B$1,0,$B59)+IF(D$5=$B$3,'Emergy Costs'!#REF!*$C$2,0)</f>
        <v>#REF!</v>
      </c>
      <c r="E59" s="129" t="e">
        <f>IF(E$5&gt;$B$1,0,$B59)+IF(E$5=$B$3,'Emergy Costs'!#REF!*$C$2,0)</f>
        <v>#REF!</v>
      </c>
      <c r="F59" s="129" t="e">
        <f>IF(F$5&gt;$B$1,0,$B59)+IF(F$5=$B$3,'Emergy Costs'!#REF!*$C$2,0)</f>
        <v>#REF!</v>
      </c>
      <c r="G59" s="129" t="e">
        <f>IF(G$5&gt;$B$1,0,$B59)+IF(G$5=$B$3,'Emergy Costs'!#REF!*$C$2,0)</f>
        <v>#REF!</v>
      </c>
      <c r="H59" s="129" t="e">
        <f>IF(H$5&gt;$B$1,0,$B59)+IF(H$5=$B$3,'Emergy Costs'!#REF!*$C$2,0)</f>
        <v>#REF!</v>
      </c>
      <c r="I59" s="129" t="e">
        <f>IF(I$5&gt;$B$1,0,$B59)+IF(I$5=$B$3,'Emergy Costs'!#REF!*$C$2,0)</f>
        <v>#REF!</v>
      </c>
      <c r="J59" s="129" t="e">
        <f>IF(J$5&gt;$B$1,0,$B59)+IF(J$5=$B$3,'Emergy Costs'!#REF!*$C$2,0)</f>
        <v>#REF!</v>
      </c>
      <c r="K59" s="129" t="e">
        <f>IF(K$5&gt;$B$1,0,$B59)+IF(K$5=$B$3,'Emergy Costs'!#REF!*$C$2,0)</f>
        <v>#REF!</v>
      </c>
      <c r="L59" s="129" t="e">
        <f>IF(L$5&gt;$B$1,0,$B59)+IF(L$5=$B$3,'Emergy Costs'!#REF!*$C$2,0)</f>
        <v>#REF!</v>
      </c>
      <c r="M59" s="129" t="e">
        <f>IF(M$5&gt;$B$1,0,$B59)+IF(M$5=$B$3,'Emergy Costs'!#REF!*$C$2,0)</f>
        <v>#REF!</v>
      </c>
      <c r="N59" s="129" t="e">
        <f>IF(N$5&gt;$B$1,0,$B59)+IF(N$5=$B$3,'Emergy Costs'!#REF!*$C$2,0)</f>
        <v>#REF!</v>
      </c>
      <c r="O59" s="129" t="e">
        <f>IF(O$5&gt;$B$1,0,$B59)+IF(O$5=$B$3,'Emergy Costs'!#REF!*$C$2,0)</f>
        <v>#REF!</v>
      </c>
      <c r="P59" s="129" t="e">
        <f>IF(P$5&gt;$B$1,0,$B59)+IF(P$5=$B$3,'Emergy Costs'!#REF!*$C$2,0)</f>
        <v>#REF!</v>
      </c>
      <c r="Q59" s="129" t="e">
        <f>IF(Q$5&gt;$B$1,0,$B59)+IF(Q$5=$B$3,'Emergy Costs'!#REF!*$C$2,0)</f>
        <v>#REF!</v>
      </c>
      <c r="R59" s="129" t="e">
        <f>IF(R$5&gt;$B$1,0,$B59)+IF(R$5=$B$3,'Emergy Costs'!#REF!*$C$2,0)</f>
        <v>#REF!</v>
      </c>
      <c r="S59" s="129" t="e">
        <f>IF(S$5&gt;$B$1,0,$B59)+IF(S$5=$B$3,'Emergy Costs'!#REF!*$C$2,0)</f>
        <v>#REF!</v>
      </c>
      <c r="T59" s="129" t="e">
        <f>IF(T$5&gt;$B$1,0,$B59)+IF(T$5=$B$3,'Emergy Costs'!#REF!*$C$2,0)</f>
        <v>#REF!</v>
      </c>
      <c r="U59" s="129" t="e">
        <f>IF(U$5&gt;$B$1,0,$B59)+IF(U$5=$B$3,'Emergy Costs'!#REF!*$C$2,0)</f>
        <v>#REF!</v>
      </c>
      <c r="V59" s="129" t="e">
        <f t="shared" si="0"/>
        <v>#REF!</v>
      </c>
      <c r="W59" s="135">
        <v>0</v>
      </c>
    </row>
    <row r="60" spans="1:23" ht="12.75">
      <c r="A60" s="128">
        <f>-'Emergy Costs'!G13</f>
        <v>-275604</v>
      </c>
      <c r="B60" s="128">
        <f>+'Emergy Costs'!H13</f>
        <v>0</v>
      </c>
      <c r="C60" s="129">
        <f>IF(C$5&gt;$B$1,0,$B60)+IF(C$5=$B$3,'Emergy Costs'!$I13*$C$2,0)</f>
        <v>0</v>
      </c>
      <c r="D60" s="129">
        <f>IF(D$5&gt;$B$1,0,$B60)+IF(D$5=$B$3,'Emergy Costs'!$I13*$C$2,0)</f>
        <v>0</v>
      </c>
      <c r="E60" s="129">
        <f>IF(E$5&gt;$B$1,0,$B60)+IF(E$5=$B$3,'Emergy Costs'!$I13*$C$2,0)</f>
        <v>0</v>
      </c>
      <c r="F60" s="129">
        <f>IF(F$5&gt;$B$1,0,$B60)+IF(F$5=$B$3,'Emergy Costs'!$I13*$C$2,0)</f>
        <v>0</v>
      </c>
      <c r="G60" s="129">
        <f>IF(G$5&gt;$B$1,0,$B60)+IF(G$5=$B$3,'Emergy Costs'!$I13*$C$2,0)</f>
        <v>0</v>
      </c>
      <c r="H60" s="129">
        <f>IF(H$5&gt;$B$1,0,$B60)+IF(H$5=$B$3,'Emergy Costs'!$I13*$C$2,0)</f>
        <v>0</v>
      </c>
      <c r="I60" s="129">
        <f>IF(I$5&gt;$B$1,0,$B60)+IF(I$5=$B$3,'Emergy Costs'!$I13*$C$2,0)</f>
        <v>0</v>
      </c>
      <c r="J60" s="129">
        <f>IF(J$5&gt;$B$1,0,$B60)+IF(J$5=$B$3,'Emergy Costs'!$I13*$C$2,0)</f>
        <v>0</v>
      </c>
      <c r="K60" s="129">
        <f>IF(K$5&gt;$B$1,0,$B60)+IF(K$5=$B$3,'Emergy Costs'!$I13*$C$2,0)</f>
        <v>0</v>
      </c>
      <c r="L60" s="129">
        <f>IF(L$5&gt;$B$1,0,$B60)+IF(L$5=$B$3,'Emergy Costs'!$I13*$C$2,0)</f>
        <v>0</v>
      </c>
      <c r="M60" s="129">
        <f>IF(M$5&gt;$B$1,0,$B60)+IF(M$5=$B$3,'Emergy Costs'!$I13*$C$2,0)</f>
        <v>0</v>
      </c>
      <c r="N60" s="129">
        <f>IF(N$5&gt;$B$1,0,$B60)+IF(N$5=$B$3,'Emergy Costs'!$I13*$C$2,0)</f>
        <v>0</v>
      </c>
      <c r="O60" s="129">
        <f>IF(O$5&gt;$B$1,0,$B60)+IF(O$5=$B$3,'Emergy Costs'!$I13*$C$2,0)</f>
        <v>0</v>
      </c>
      <c r="P60" s="129">
        <f>IF(P$5&gt;$B$1,0,$B60)+IF(P$5=$B$3,'Emergy Costs'!$I13*$C$2,0)</f>
        <v>0</v>
      </c>
      <c r="Q60" s="129">
        <f>IF(Q$5&gt;$B$1,0,$B60)+IF(Q$5=$B$3,'Emergy Costs'!$I13*$C$2,0)</f>
        <v>0</v>
      </c>
      <c r="R60" s="129">
        <f>IF(R$5&gt;$B$1,0,$B60)+IF(R$5=$B$3,'Emergy Costs'!$I13*$C$2,0)</f>
        <v>0</v>
      </c>
      <c r="S60" s="129">
        <f>IF(S$5&gt;$B$1,0,$B60)+IF(S$5=$B$3,'Emergy Costs'!$I13*$C$2,0)</f>
        <v>0</v>
      </c>
      <c r="T60" s="129">
        <f>IF(T$5&gt;$B$1,0,$B60)+IF(T$5=$B$3,'Emergy Costs'!$I13*$C$2,0)</f>
        <v>0</v>
      </c>
      <c r="U60" s="129">
        <f>IF(U$5&gt;$B$1,0,$B60)+IF(U$5=$B$3,'Emergy Costs'!$I13*$C$2,0)</f>
        <v>0</v>
      </c>
      <c r="V60" s="129">
        <f t="shared" si="0"/>
        <v>-275604</v>
      </c>
      <c r="W60" s="135">
        <v>-1</v>
      </c>
    </row>
    <row r="61" spans="1:23" ht="12.75">
      <c r="A61" s="128">
        <f>-'Emergy Costs'!G76</f>
        <v>-27169865</v>
      </c>
      <c r="B61" s="128">
        <f>+'Emergy Costs'!H76</f>
        <v>674184.5</v>
      </c>
      <c r="C61" s="129">
        <f>IF(C$5&gt;$B$1,0,$B61)+IF(C$5=$B$3,'Emergy Costs'!$I76*$C$2,0)</f>
        <v>674184.5</v>
      </c>
      <c r="D61" s="129">
        <f>IF(D$5&gt;$B$1,0,$B61)+IF(D$5=$B$3,'Emergy Costs'!$I76*$C$2,0)</f>
        <v>674184.5</v>
      </c>
      <c r="E61" s="129">
        <f>IF(E$5&gt;$B$1,0,$B61)+IF(E$5=$B$3,'Emergy Costs'!$I76*$C$2,0)</f>
        <v>674184.5</v>
      </c>
      <c r="F61" s="129">
        <f>IF(F$5&gt;$B$1,0,$B61)+IF(F$5=$B$3,'Emergy Costs'!$I76*$C$2,0)</f>
        <v>17580230.744835485</v>
      </c>
      <c r="G61" s="129">
        <f>IF(G$5&gt;$B$1,0,$B61)+IF(G$5=$B$3,'Emergy Costs'!$I76*$C$2,0)</f>
        <v>674184.5</v>
      </c>
      <c r="H61" s="129">
        <f>IF(H$5&gt;$B$1,0,$B61)+IF(H$5=$B$3,'Emergy Costs'!$I76*$C$2,0)</f>
        <v>674184.5</v>
      </c>
      <c r="I61" s="129">
        <f>IF(I$5&gt;$B$1,0,$B61)+IF(I$5=$B$3,'Emergy Costs'!$I76*$C$2,0)</f>
        <v>674184.5</v>
      </c>
      <c r="J61" s="129">
        <f>IF(J$5&gt;$B$1,0,$B61)+IF(J$5=$B$3,'Emergy Costs'!$I76*$C$2,0)</f>
        <v>674184.5</v>
      </c>
      <c r="K61" s="129">
        <f>IF(K$5&gt;$B$1,0,$B61)+IF(K$5=$B$3,'Emergy Costs'!$I76*$C$2,0)</f>
        <v>674184.5</v>
      </c>
      <c r="L61" s="129">
        <f>IF(L$5&gt;$B$1,0,$B61)+IF(L$5=$B$3,'Emergy Costs'!$I76*$C$2,0)</f>
        <v>674184.5</v>
      </c>
      <c r="M61" s="129">
        <f>IF(M$5&gt;$B$1,0,$B61)+IF(M$5=$B$3,'Emergy Costs'!$I76*$C$2,0)</f>
        <v>674184.5</v>
      </c>
      <c r="N61" s="129">
        <f>IF(N$5&gt;$B$1,0,$B61)+IF(N$5=$B$3,'Emergy Costs'!$I76*$C$2,0)</f>
        <v>674184.5</v>
      </c>
      <c r="O61" s="129">
        <f>IF(O$5&gt;$B$1,0,$B61)+IF(O$5=$B$3,'Emergy Costs'!$I76*$C$2,0)</f>
        <v>674184.5</v>
      </c>
      <c r="P61" s="129">
        <f>IF(P$5&gt;$B$1,0,$B61)+IF(P$5=$B$3,'Emergy Costs'!$I76*$C$2,0)</f>
        <v>674184.5</v>
      </c>
      <c r="Q61" s="129">
        <f>IF(Q$5&gt;$B$1,0,$B61)+IF(Q$5=$B$3,'Emergy Costs'!$I76*$C$2,0)</f>
        <v>674184.5</v>
      </c>
      <c r="R61" s="129">
        <f>IF(R$5&gt;$B$1,0,$B61)+IF(R$5=$B$3,'Emergy Costs'!$I76*$C$2,0)</f>
        <v>674184.5</v>
      </c>
      <c r="S61" s="129">
        <f>IF(S$5&gt;$B$1,0,$B61)+IF(S$5=$B$3,'Emergy Costs'!$I76*$C$2,0)</f>
        <v>674184.5</v>
      </c>
      <c r="T61" s="129">
        <f>IF(T$5&gt;$B$1,0,$B61)+IF(T$5=$B$3,'Emergy Costs'!$I76*$C$2,0)</f>
        <v>674184.5</v>
      </c>
      <c r="U61" s="129">
        <f>IF(U$5&gt;$B$1,0,$B61)+IF(U$5=$B$3,'Emergy Costs'!$I76*$C$2,0)</f>
        <v>674184.5</v>
      </c>
      <c r="V61" s="129">
        <f t="shared" si="0"/>
        <v>3219871.244835485</v>
      </c>
      <c r="W61" s="135">
        <f t="shared" si="1"/>
        <v>0.015514342264689712</v>
      </c>
    </row>
    <row r="62" spans="1:22" ht="12.75">
      <c r="A62" s="128"/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</row>
    <row r="63" spans="1:22" ht="12.75">
      <c r="A63" s="128"/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</row>
    <row r="64" spans="1:22" ht="12.75">
      <c r="A64" s="128"/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</row>
    <row r="65" spans="1:22" ht="12.75">
      <c r="A65" s="128"/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</row>
    <row r="66" spans="1:22" ht="12.75">
      <c r="A66" s="128"/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</row>
    <row r="67" spans="1:22" ht="12.75">
      <c r="A67" s="128"/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</row>
    <row r="68" spans="1:22" ht="12.75">
      <c r="A68" s="128"/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1:22" ht="12.75">
      <c r="A69" s="128"/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</row>
    <row r="70" spans="1:22" ht="12.75">
      <c r="A70" s="128"/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7"/>
  <sheetViews>
    <sheetView tabSelected="1" view="pageBreakPreview" zoomScaleSheetLayoutView="100" workbookViewId="0" topLeftCell="B1">
      <selection activeCell="M131" sqref="M131"/>
    </sheetView>
  </sheetViews>
  <sheetFormatPr defaultColWidth="9.140625" defaultRowHeight="12.75"/>
  <cols>
    <col min="1" max="1" width="6.421875" style="5" hidden="1" customWidth="1"/>
    <col min="2" max="2" width="3.140625" style="0" customWidth="1"/>
    <col min="3" max="3" width="12.8515625" style="0" hidden="1" customWidth="1"/>
    <col min="4" max="4" width="10.7109375" style="0" hidden="1" customWidth="1"/>
    <col min="5" max="5" width="32.00390625" style="0" customWidth="1"/>
    <col min="6" max="6" width="3.421875" style="0" customWidth="1"/>
    <col min="7" max="7" width="11.421875" style="374" customWidth="1"/>
    <col min="8" max="8" width="16.8515625" style="374" customWidth="1"/>
    <col min="9" max="9" width="11.8515625" style="374" customWidth="1"/>
    <col min="10" max="10" width="12.140625" style="374" customWidth="1"/>
  </cols>
  <sheetData>
    <row r="1" spans="2:9" ht="12.75" customHeight="1" thickBot="1">
      <c r="B1" t="s">
        <v>99</v>
      </c>
      <c r="H1" s="387" t="s">
        <v>127</v>
      </c>
      <c r="I1" s="387"/>
    </row>
    <row r="2" spans="1:10" ht="15.75">
      <c r="A2" s="173"/>
      <c r="B2" s="174"/>
      <c r="C2" s="175"/>
      <c r="D2" s="165"/>
      <c r="E2" s="176"/>
      <c r="F2" s="176"/>
      <c r="G2" s="375"/>
      <c r="H2" s="37" t="s">
        <v>202</v>
      </c>
      <c r="I2" s="37"/>
      <c r="J2" s="375"/>
    </row>
    <row r="3" spans="1:10" ht="12.75">
      <c r="A3" s="167"/>
      <c r="B3" s="171"/>
      <c r="C3" s="62" t="s">
        <v>1</v>
      </c>
      <c r="D3" s="62" t="s">
        <v>0</v>
      </c>
      <c r="E3" s="170"/>
      <c r="F3" s="170"/>
      <c r="G3" s="36" t="s">
        <v>1</v>
      </c>
      <c r="H3" s="36" t="s">
        <v>167</v>
      </c>
      <c r="I3" s="36"/>
      <c r="J3" s="36" t="s">
        <v>203</v>
      </c>
    </row>
    <row r="4" spans="1:10" ht="12.75">
      <c r="A4" s="168" t="s">
        <v>41</v>
      </c>
      <c r="B4" s="171"/>
      <c r="C4" s="62" t="s">
        <v>2</v>
      </c>
      <c r="D4" s="62" t="s">
        <v>3</v>
      </c>
      <c r="E4" s="170"/>
      <c r="F4" s="170"/>
      <c r="G4" s="36" t="s">
        <v>2</v>
      </c>
      <c r="H4" s="36" t="s">
        <v>2</v>
      </c>
      <c r="I4" s="36"/>
      <c r="J4" s="36"/>
    </row>
    <row r="5" spans="1:10" ht="16.5" thickBot="1">
      <c r="A5" s="169" t="s">
        <v>1</v>
      </c>
      <c r="B5" s="172" t="s">
        <v>4</v>
      </c>
      <c r="C5" s="62" t="s">
        <v>5</v>
      </c>
      <c r="D5" s="62" t="s">
        <v>5</v>
      </c>
      <c r="E5" s="170"/>
      <c r="F5" s="170"/>
      <c r="G5" s="36" t="s">
        <v>5</v>
      </c>
      <c r="H5" s="36" t="s">
        <v>5</v>
      </c>
      <c r="I5" s="36"/>
      <c r="J5" s="36"/>
    </row>
    <row r="6" spans="1:10" s="192" customFormat="1" ht="13.5" thickBot="1">
      <c r="A6" s="193"/>
      <c r="B6" s="194" t="s">
        <v>43</v>
      </c>
      <c r="C6" s="195"/>
      <c r="D6" s="196"/>
      <c r="E6" s="197"/>
      <c r="F6" s="197"/>
      <c r="G6" s="376">
        <f>G137</f>
        <v>27169865</v>
      </c>
      <c r="H6" s="376">
        <f>H137</f>
        <v>13493800</v>
      </c>
      <c r="I6" s="376"/>
      <c r="J6" s="376"/>
    </row>
    <row r="7" spans="1:10" s="14" customFormat="1" ht="12.75">
      <c r="A7" s="167"/>
      <c r="B7" s="19"/>
      <c r="C7" s="19"/>
      <c r="D7" s="20"/>
      <c r="E7" s="20"/>
      <c r="F7" s="20"/>
      <c r="G7" s="377"/>
      <c r="H7" s="377"/>
      <c r="I7" s="377"/>
      <c r="J7" s="377"/>
    </row>
    <row r="8" spans="1:10" s="14" customFormat="1" ht="16.5" thickBot="1">
      <c r="A8" s="167"/>
      <c r="B8" s="211" t="s">
        <v>131</v>
      </c>
      <c r="C8" s="19"/>
      <c r="D8" s="20"/>
      <c r="E8" s="20"/>
      <c r="F8" s="20"/>
      <c r="G8" s="377"/>
      <c r="H8" s="377"/>
      <c r="I8" s="377"/>
      <c r="J8" s="377"/>
    </row>
    <row r="9" spans="1:10" ht="12.75">
      <c r="A9" s="173" t="s">
        <v>42</v>
      </c>
      <c r="B9" s="241" t="s">
        <v>49</v>
      </c>
      <c r="C9" s="233">
        <v>80202</v>
      </c>
      <c r="D9" s="234">
        <v>1063</v>
      </c>
      <c r="E9" s="268"/>
      <c r="F9" s="268" t="s">
        <v>157</v>
      </c>
      <c r="G9" s="378">
        <f>IF(A9="X",C9,0)</f>
        <v>80202</v>
      </c>
      <c r="H9" s="378">
        <v>0</v>
      </c>
      <c r="I9" s="378">
        <v>0</v>
      </c>
      <c r="J9" s="409">
        <f>SUM(I9-G9)</f>
        <v>-80202</v>
      </c>
    </row>
    <row r="10" spans="1:10" ht="12.75">
      <c r="A10" s="167" t="s">
        <v>137</v>
      </c>
      <c r="B10" s="152" t="s">
        <v>20</v>
      </c>
      <c r="C10" s="1">
        <v>87391</v>
      </c>
      <c r="D10" s="31">
        <v>2500</v>
      </c>
      <c r="E10" s="264"/>
      <c r="F10" s="264" t="s">
        <v>157</v>
      </c>
      <c r="G10" s="379">
        <f>IF(A10="X",C10,0)</f>
        <v>87391</v>
      </c>
      <c r="H10" s="379">
        <v>23400</v>
      </c>
      <c r="I10" s="379">
        <v>23400</v>
      </c>
      <c r="J10" s="410">
        <f>SUM(I10-G10)</f>
        <v>-63991</v>
      </c>
    </row>
    <row r="11" spans="1:10" ht="12.75">
      <c r="A11" s="206" t="s">
        <v>42</v>
      </c>
      <c r="B11" s="153" t="s">
        <v>166</v>
      </c>
      <c r="C11" s="13">
        <v>5800000</v>
      </c>
      <c r="D11" s="32">
        <v>0</v>
      </c>
      <c r="E11" s="265"/>
      <c r="F11" s="265" t="s">
        <v>156</v>
      </c>
      <c r="G11" s="380">
        <f>IF(A11="X",C11,0)</f>
        <v>5800000</v>
      </c>
      <c r="H11" s="380"/>
      <c r="I11" s="412">
        <f>SUM(H12:H16)</f>
        <v>4215600</v>
      </c>
      <c r="J11" s="410">
        <f>SUM(I11-G11)</f>
        <v>-1584400</v>
      </c>
    </row>
    <row r="12" spans="1:10" ht="12.75">
      <c r="A12" s="206"/>
      <c r="B12" s="370"/>
      <c r="C12" s="371"/>
      <c r="D12" s="372"/>
      <c r="E12" s="265" t="s">
        <v>169</v>
      </c>
      <c r="F12" s="265"/>
      <c r="G12" s="380"/>
      <c r="H12" s="380">
        <v>1545000</v>
      </c>
      <c r="I12" s="412"/>
      <c r="J12" s="410"/>
    </row>
    <row r="13" spans="1:10" ht="12.75">
      <c r="A13" s="206"/>
      <c r="B13" s="370"/>
      <c r="C13" s="371"/>
      <c r="D13" s="372"/>
      <c r="E13" s="265" t="s">
        <v>187</v>
      </c>
      <c r="F13" s="265"/>
      <c r="G13" s="380"/>
      <c r="H13" s="380">
        <v>61200</v>
      </c>
      <c r="I13" s="412"/>
      <c r="J13" s="410"/>
    </row>
    <row r="14" spans="1:10" ht="12.75">
      <c r="A14" s="206"/>
      <c r="B14" s="370"/>
      <c r="C14" s="371"/>
      <c r="D14" s="372"/>
      <c r="E14" s="265" t="s">
        <v>188</v>
      </c>
      <c r="F14" s="265"/>
      <c r="G14" s="380"/>
      <c r="H14" s="380">
        <v>309000</v>
      </c>
      <c r="I14" s="412"/>
      <c r="J14" s="410"/>
    </row>
    <row r="15" spans="1:10" ht="12.75">
      <c r="A15" s="206"/>
      <c r="B15" s="370"/>
      <c r="C15" s="371"/>
      <c r="D15" s="372"/>
      <c r="E15" s="265" t="s">
        <v>189</v>
      </c>
      <c r="F15" s="265"/>
      <c r="G15" s="380"/>
      <c r="H15" s="380">
        <v>2060000</v>
      </c>
      <c r="I15" s="412"/>
      <c r="J15" s="410"/>
    </row>
    <row r="16" spans="1:10" ht="12.75">
      <c r="A16" s="206"/>
      <c r="B16" s="370"/>
      <c r="C16" s="371"/>
      <c r="D16" s="372"/>
      <c r="E16" s="265" t="s">
        <v>189</v>
      </c>
      <c r="F16" s="265"/>
      <c r="G16" s="380"/>
      <c r="H16" s="380">
        <v>240400</v>
      </c>
      <c r="I16" s="412"/>
      <c r="J16" s="410"/>
    </row>
    <row r="17" spans="1:10" ht="12.75">
      <c r="A17" s="167" t="s">
        <v>42</v>
      </c>
      <c r="B17" s="205" t="s">
        <v>19</v>
      </c>
      <c r="C17" s="45">
        <v>19380</v>
      </c>
      <c r="D17" s="46">
        <v>500</v>
      </c>
      <c r="E17" s="264"/>
      <c r="F17" s="264" t="s">
        <v>157</v>
      </c>
      <c r="G17" s="381">
        <f>IF(A17="X",C17,0)</f>
        <v>19380</v>
      </c>
      <c r="H17" s="381">
        <v>11300</v>
      </c>
      <c r="I17" s="381">
        <v>11300</v>
      </c>
      <c r="J17" s="410">
        <f>SUM(I17-G17)</f>
        <v>-8080</v>
      </c>
    </row>
    <row r="18" spans="1:10" ht="13.5" thickBot="1">
      <c r="A18" s="167" t="s">
        <v>42</v>
      </c>
      <c r="B18" s="249" t="s">
        <v>138</v>
      </c>
      <c r="C18" s="224">
        <v>275604</v>
      </c>
      <c r="D18" s="225">
        <v>0</v>
      </c>
      <c r="E18" s="270"/>
      <c r="F18" s="270"/>
      <c r="G18" s="382">
        <f>IF(A18="X",C18,0)</f>
        <v>275604</v>
      </c>
      <c r="H18" s="382">
        <v>0</v>
      </c>
      <c r="I18" s="382">
        <v>0</v>
      </c>
      <c r="J18" s="411">
        <f>SUM(I18-G18)</f>
        <v>-275604</v>
      </c>
    </row>
    <row r="19" spans="1:10" ht="13.5" thickBot="1">
      <c r="A19" s="9"/>
      <c r="B19" s="242"/>
      <c r="C19" s="243"/>
      <c r="D19" s="184"/>
      <c r="E19" s="184" t="s">
        <v>132</v>
      </c>
      <c r="F19" s="184"/>
      <c r="G19" s="382">
        <f>SUM(G9:G18)</f>
        <v>6262577</v>
      </c>
      <c r="H19" s="382">
        <f>SUM(H9:H18)</f>
        <v>4250300</v>
      </c>
      <c r="I19" s="382">
        <f>SUM(I9:I18)</f>
        <v>4250300</v>
      </c>
      <c r="J19" s="382">
        <f>SUM(J9:J18)</f>
        <v>-2012277</v>
      </c>
    </row>
    <row r="20" spans="1:10" s="14" customFormat="1" ht="12.75">
      <c r="A20" s="147"/>
      <c r="B20" s="71"/>
      <c r="C20" s="179"/>
      <c r="D20" s="33"/>
      <c r="E20" s="33"/>
      <c r="F20" s="33"/>
      <c r="G20" s="383"/>
      <c r="H20" s="383"/>
      <c r="I20" s="383"/>
      <c r="J20" s="383"/>
    </row>
    <row r="21" spans="1:10" s="14" customFormat="1" ht="12.75">
      <c r="A21" s="147"/>
      <c r="B21" s="71"/>
      <c r="C21" s="179"/>
      <c r="D21" s="33"/>
      <c r="E21" s="33"/>
      <c r="F21" s="33"/>
      <c r="G21" s="383"/>
      <c r="H21" s="383"/>
      <c r="I21" s="383"/>
      <c r="J21" s="383"/>
    </row>
    <row r="22" spans="1:10" s="14" customFormat="1" ht="16.5" thickBot="1">
      <c r="A22" s="147"/>
      <c r="B22" s="211" t="s">
        <v>133</v>
      </c>
      <c r="C22" s="179"/>
      <c r="D22" s="33"/>
      <c r="E22" s="33"/>
      <c r="F22" s="33"/>
      <c r="G22" s="383"/>
      <c r="H22" s="383"/>
      <c r="I22" s="383"/>
      <c r="J22" s="383"/>
    </row>
    <row r="23" spans="1:10" ht="12.75">
      <c r="A23" s="173" t="s">
        <v>42</v>
      </c>
      <c r="B23" s="232" t="s">
        <v>47</v>
      </c>
      <c r="C23" s="233">
        <v>1276824</v>
      </c>
      <c r="D23" s="234">
        <v>17190</v>
      </c>
      <c r="E23" s="235"/>
      <c r="F23" s="235" t="s">
        <v>157</v>
      </c>
      <c r="G23" s="378">
        <f aca="true" t="shared" si="0" ref="G23:G39">IF(A23="X",C23,0)</f>
        <v>1276824</v>
      </c>
      <c r="H23" s="378"/>
      <c r="I23" s="406">
        <f>SUM(H24:H25)</f>
        <v>1653300</v>
      </c>
      <c r="J23" s="409">
        <f>SUM(I23-G23)</f>
        <v>376476</v>
      </c>
    </row>
    <row r="24" spans="1:10" ht="12.75">
      <c r="A24" s="167"/>
      <c r="B24" s="373"/>
      <c r="C24" s="21"/>
      <c r="D24" s="30"/>
      <c r="E24" s="166" t="s">
        <v>170</v>
      </c>
      <c r="F24" s="166"/>
      <c r="G24" s="381"/>
      <c r="H24" s="381">
        <v>412000</v>
      </c>
      <c r="I24" s="388"/>
      <c r="J24" s="410"/>
    </row>
    <row r="25" spans="1:10" ht="12.75">
      <c r="A25" s="167"/>
      <c r="B25" s="373"/>
      <c r="C25" s="21"/>
      <c r="D25" s="30"/>
      <c r="E25" s="166" t="s">
        <v>171</v>
      </c>
      <c r="F25" s="166"/>
      <c r="G25" s="381"/>
      <c r="H25" s="381">
        <v>1241300</v>
      </c>
      <c r="I25" s="388"/>
      <c r="J25" s="410"/>
    </row>
    <row r="26" spans="1:10" ht="12.75">
      <c r="A26" s="167" t="s">
        <v>42</v>
      </c>
      <c r="B26" s="208" t="s">
        <v>15</v>
      </c>
      <c r="C26" s="1">
        <v>9960</v>
      </c>
      <c r="D26" s="31">
        <v>300</v>
      </c>
      <c r="E26" s="166"/>
      <c r="F26" s="166" t="s">
        <v>157</v>
      </c>
      <c r="G26" s="381">
        <f t="shared" si="0"/>
        <v>9960</v>
      </c>
      <c r="H26" s="381">
        <v>0</v>
      </c>
      <c r="I26" s="388">
        <v>0</v>
      </c>
      <c r="J26" s="410">
        <f aca="true" t="shared" si="1" ref="J26:J36">SUM(I26-G26)</f>
        <v>-9960</v>
      </c>
    </row>
    <row r="27" spans="1:10" ht="12.75">
      <c r="A27" s="167" t="s">
        <v>42</v>
      </c>
      <c r="B27" s="209" t="s">
        <v>96</v>
      </c>
      <c r="C27" s="1">
        <v>24033</v>
      </c>
      <c r="D27" s="31">
        <v>549</v>
      </c>
      <c r="E27" s="166"/>
      <c r="F27" s="166" t="s">
        <v>157</v>
      </c>
      <c r="G27" s="381">
        <f t="shared" si="0"/>
        <v>24033</v>
      </c>
      <c r="H27" s="381">
        <v>0</v>
      </c>
      <c r="I27" s="388">
        <v>0</v>
      </c>
      <c r="J27" s="410">
        <f t="shared" si="1"/>
        <v>-24033</v>
      </c>
    </row>
    <row r="28" spans="1:10" ht="12.75">
      <c r="A28" s="167" t="s">
        <v>42</v>
      </c>
      <c r="B28" s="208" t="s">
        <v>50</v>
      </c>
      <c r="C28" s="1">
        <v>703156</v>
      </c>
      <c r="D28" s="31">
        <v>4611</v>
      </c>
      <c r="E28" s="166"/>
      <c r="F28" s="166" t="s">
        <v>157</v>
      </c>
      <c r="G28" s="381">
        <f t="shared" si="0"/>
        <v>703156</v>
      </c>
      <c r="H28" s="381">
        <v>618000</v>
      </c>
      <c r="I28" s="388">
        <v>618000</v>
      </c>
      <c r="J28" s="410">
        <f t="shared" si="1"/>
        <v>-85156</v>
      </c>
    </row>
    <row r="29" spans="1:10" ht="12.75">
      <c r="A29" s="167" t="s">
        <v>42</v>
      </c>
      <c r="B29" s="208" t="s">
        <v>32</v>
      </c>
      <c r="C29" s="1">
        <v>137437</v>
      </c>
      <c r="D29" s="31">
        <v>4121</v>
      </c>
      <c r="E29" s="166"/>
      <c r="F29" s="166" t="s">
        <v>157</v>
      </c>
      <c r="G29" s="381">
        <f t="shared" si="0"/>
        <v>137437</v>
      </c>
      <c r="H29" s="381">
        <v>0</v>
      </c>
      <c r="I29" s="388">
        <v>0</v>
      </c>
      <c r="J29" s="410">
        <f t="shared" si="1"/>
        <v>-137437</v>
      </c>
    </row>
    <row r="30" spans="1:10" ht="12.75">
      <c r="A30" s="167" t="s">
        <v>42</v>
      </c>
      <c r="B30" s="208" t="s">
        <v>39</v>
      </c>
      <c r="C30" s="1">
        <v>168025</v>
      </c>
      <c r="D30" s="31">
        <v>7482</v>
      </c>
      <c r="E30" s="166"/>
      <c r="F30" s="166" t="s">
        <v>157</v>
      </c>
      <c r="G30" s="381">
        <f t="shared" si="0"/>
        <v>168025</v>
      </c>
      <c r="H30" s="381">
        <v>0</v>
      </c>
      <c r="I30" s="388">
        <v>0</v>
      </c>
      <c r="J30" s="410">
        <f t="shared" si="1"/>
        <v>-168025</v>
      </c>
    </row>
    <row r="31" spans="1:10" ht="12.75">
      <c r="A31" s="167" t="s">
        <v>42</v>
      </c>
      <c r="B31" s="208" t="s">
        <v>27</v>
      </c>
      <c r="C31" s="1">
        <v>23330</v>
      </c>
      <c r="D31" s="31">
        <v>0</v>
      </c>
      <c r="E31" s="166"/>
      <c r="F31" s="166" t="s">
        <v>157</v>
      </c>
      <c r="G31" s="381">
        <f t="shared" si="0"/>
        <v>23330</v>
      </c>
      <c r="H31" s="381">
        <v>0</v>
      </c>
      <c r="I31" s="388">
        <v>0</v>
      </c>
      <c r="J31" s="410">
        <f t="shared" si="1"/>
        <v>-23330</v>
      </c>
    </row>
    <row r="32" spans="1:10" ht="12.75">
      <c r="A32" s="207" t="s">
        <v>42</v>
      </c>
      <c r="B32" s="208" t="s">
        <v>55</v>
      </c>
      <c r="C32" s="1">
        <v>148819</v>
      </c>
      <c r="D32" s="31">
        <v>189</v>
      </c>
      <c r="E32" s="166"/>
      <c r="F32" s="166" t="s">
        <v>157</v>
      </c>
      <c r="G32" s="379">
        <f t="shared" si="0"/>
        <v>148819</v>
      </c>
      <c r="H32" s="379">
        <v>72100</v>
      </c>
      <c r="I32" s="407">
        <v>72100</v>
      </c>
      <c r="J32" s="410">
        <f t="shared" si="1"/>
        <v>-76719</v>
      </c>
    </row>
    <row r="33" spans="1:10" ht="12.75">
      <c r="A33" s="167" t="s">
        <v>42</v>
      </c>
      <c r="B33" s="208" t="s">
        <v>25</v>
      </c>
      <c r="C33" s="1">
        <v>79143</v>
      </c>
      <c r="D33" s="31">
        <v>1135</v>
      </c>
      <c r="E33" s="166"/>
      <c r="F33" s="166" t="s">
        <v>157</v>
      </c>
      <c r="G33" s="381">
        <f t="shared" si="0"/>
        <v>79143</v>
      </c>
      <c r="H33" s="381">
        <v>53600</v>
      </c>
      <c r="I33" s="388">
        <v>53600</v>
      </c>
      <c r="J33" s="410">
        <f t="shared" si="1"/>
        <v>-25543</v>
      </c>
    </row>
    <row r="34" spans="1:10" ht="12.75">
      <c r="A34" s="167" t="s">
        <v>42</v>
      </c>
      <c r="B34" s="208" t="s">
        <v>83</v>
      </c>
      <c r="C34" s="1">
        <v>122068</v>
      </c>
      <c r="D34" s="31">
        <v>1444</v>
      </c>
      <c r="E34" s="166"/>
      <c r="F34" s="166" t="s">
        <v>157</v>
      </c>
      <c r="G34" s="381">
        <f t="shared" si="0"/>
        <v>122068</v>
      </c>
      <c r="H34" s="381">
        <v>78300</v>
      </c>
      <c r="I34" s="388">
        <v>78300</v>
      </c>
      <c r="J34" s="410">
        <f t="shared" si="1"/>
        <v>-43768</v>
      </c>
    </row>
    <row r="35" spans="1:10" ht="12.75">
      <c r="A35" s="167" t="s">
        <v>42</v>
      </c>
      <c r="B35" s="208" t="s">
        <v>29</v>
      </c>
      <c r="C35" s="1">
        <v>10319</v>
      </c>
      <c r="D35" s="31">
        <v>1500</v>
      </c>
      <c r="E35" s="166"/>
      <c r="F35" s="166" t="s">
        <v>158</v>
      </c>
      <c r="G35" s="381">
        <f t="shared" si="0"/>
        <v>10319</v>
      </c>
      <c r="H35" s="388">
        <v>6200</v>
      </c>
      <c r="I35" s="388">
        <v>6200</v>
      </c>
      <c r="J35" s="410">
        <f t="shared" si="1"/>
        <v>-4119</v>
      </c>
    </row>
    <row r="36" spans="1:10" s="43" customFormat="1" ht="12.75">
      <c r="A36" s="167" t="s">
        <v>42</v>
      </c>
      <c r="B36" s="208" t="s">
        <v>22</v>
      </c>
      <c r="C36" s="1">
        <v>487758</v>
      </c>
      <c r="D36" s="31">
        <v>23047</v>
      </c>
      <c r="E36" s="166"/>
      <c r="F36" s="166" t="s">
        <v>158</v>
      </c>
      <c r="G36" s="381">
        <f t="shared" si="0"/>
        <v>487758</v>
      </c>
      <c r="H36" s="388"/>
      <c r="I36" s="388">
        <f>SUM(H37:H38)</f>
        <v>565100</v>
      </c>
      <c r="J36" s="410">
        <f t="shared" si="1"/>
        <v>77342</v>
      </c>
    </row>
    <row r="37" spans="1:10" s="43" customFormat="1" ht="12.75">
      <c r="A37" s="167"/>
      <c r="B37" s="65"/>
      <c r="C37" s="1"/>
      <c r="D37" s="31"/>
      <c r="E37" s="166" t="s">
        <v>175</v>
      </c>
      <c r="F37" s="166"/>
      <c r="G37" s="381"/>
      <c r="H37" s="381">
        <v>513600</v>
      </c>
      <c r="I37" s="388"/>
      <c r="J37" s="410"/>
    </row>
    <row r="38" spans="1:10" s="43" customFormat="1" ht="12.75">
      <c r="A38" s="167"/>
      <c r="B38" s="65"/>
      <c r="C38" s="1"/>
      <c r="D38" s="31"/>
      <c r="E38" s="166" t="s">
        <v>176</v>
      </c>
      <c r="F38" s="166"/>
      <c r="G38" s="381"/>
      <c r="H38" s="381">
        <v>51500</v>
      </c>
      <c r="I38" s="388"/>
      <c r="J38" s="410"/>
    </row>
    <row r="39" spans="1:10" ht="12.75">
      <c r="A39" s="167" t="s">
        <v>42</v>
      </c>
      <c r="B39" s="152" t="s">
        <v>45</v>
      </c>
      <c r="C39" s="1">
        <v>285791</v>
      </c>
      <c r="D39" s="31">
        <v>0</v>
      </c>
      <c r="E39" s="166"/>
      <c r="F39" s="166" t="s">
        <v>158</v>
      </c>
      <c r="G39" s="381">
        <f t="shared" si="0"/>
        <v>285791</v>
      </c>
      <c r="H39" s="381">
        <v>306000</v>
      </c>
      <c r="I39" s="388">
        <v>306000</v>
      </c>
      <c r="J39" s="410">
        <f>SUM(I39-G39)</f>
        <v>20209</v>
      </c>
    </row>
    <row r="40" spans="1:10" ht="12.75">
      <c r="A40" s="167" t="s">
        <v>42</v>
      </c>
      <c r="B40" s="152" t="s">
        <v>93</v>
      </c>
      <c r="C40" s="1">
        <v>500000</v>
      </c>
      <c r="D40" s="31">
        <v>0</v>
      </c>
      <c r="E40" s="166"/>
      <c r="F40" s="166" t="s">
        <v>158</v>
      </c>
      <c r="G40" s="381">
        <f>IF(A40="X",C40,0)</f>
        <v>500000</v>
      </c>
      <c r="H40" s="381">
        <v>257500</v>
      </c>
      <c r="I40" s="388">
        <v>257500</v>
      </c>
      <c r="J40" s="410">
        <f>SUM(I40-G40)</f>
        <v>-242500</v>
      </c>
    </row>
    <row r="41" spans="1:10" ht="12.75">
      <c r="A41" s="167" t="s">
        <v>42</v>
      </c>
      <c r="B41" s="248" t="s">
        <v>52</v>
      </c>
      <c r="C41" s="179">
        <v>1334862</v>
      </c>
      <c r="D41" s="33">
        <v>33640</v>
      </c>
      <c r="E41" s="33"/>
      <c r="F41" s="166" t="s">
        <v>156</v>
      </c>
      <c r="G41" s="381">
        <f>IF(A41="X",C41,0)</f>
        <v>1334862</v>
      </c>
      <c r="H41" s="381"/>
      <c r="I41" s="388">
        <f>SUM(H42:H46)</f>
        <v>322800</v>
      </c>
      <c r="J41" s="410">
        <f>SUM(I41-G41)</f>
        <v>-1012062</v>
      </c>
    </row>
    <row r="42" spans="1:10" ht="12.75">
      <c r="A42" s="167"/>
      <c r="B42" s="248"/>
      <c r="C42" s="179"/>
      <c r="D42" s="33"/>
      <c r="E42" s="33" t="s">
        <v>191</v>
      </c>
      <c r="F42" s="166"/>
      <c r="G42" s="381"/>
      <c r="H42" s="381">
        <v>0</v>
      </c>
      <c r="I42" s="388"/>
      <c r="J42" s="410"/>
    </row>
    <row r="43" spans="1:10" ht="12.75">
      <c r="A43" s="167"/>
      <c r="B43" s="248"/>
      <c r="C43" s="179"/>
      <c r="D43" s="33"/>
      <c r="E43" s="33" t="s">
        <v>179</v>
      </c>
      <c r="F43" s="166"/>
      <c r="G43" s="381"/>
      <c r="H43" s="381">
        <v>0</v>
      </c>
      <c r="I43" s="388"/>
      <c r="J43" s="410"/>
    </row>
    <row r="44" spans="1:10" ht="12.75">
      <c r="A44" s="167"/>
      <c r="B44" s="248"/>
      <c r="C44" s="179"/>
      <c r="D44" s="33"/>
      <c r="E44" s="33" t="s">
        <v>170</v>
      </c>
      <c r="F44" s="166"/>
      <c r="G44" s="381"/>
      <c r="H44" s="381">
        <v>11300</v>
      </c>
      <c r="I44" s="388"/>
      <c r="J44" s="410"/>
    </row>
    <row r="45" spans="1:10" ht="12.75">
      <c r="A45" s="167"/>
      <c r="B45" s="248"/>
      <c r="C45" s="179"/>
      <c r="D45" s="33"/>
      <c r="E45" t="s">
        <v>171</v>
      </c>
      <c r="F45" s="166"/>
      <c r="G45" s="381"/>
      <c r="H45" s="381">
        <v>0</v>
      </c>
      <c r="I45" s="388"/>
      <c r="J45" s="410"/>
    </row>
    <row r="46" spans="1:10" ht="12.75">
      <c r="A46" s="167"/>
      <c r="B46" s="248"/>
      <c r="C46" s="179"/>
      <c r="D46" s="33"/>
      <c r="E46" s="33" t="s">
        <v>184</v>
      </c>
      <c r="F46" s="166"/>
      <c r="G46" s="381"/>
      <c r="H46" s="381">
        <v>311500</v>
      </c>
      <c r="I46" s="388"/>
      <c r="J46" s="410"/>
    </row>
    <row r="47" spans="1:10" ht="12.75">
      <c r="A47" s="167" t="s">
        <v>42</v>
      </c>
      <c r="B47" s="151" t="s">
        <v>10</v>
      </c>
      <c r="C47" s="1">
        <v>5075</v>
      </c>
      <c r="D47" s="31">
        <v>543</v>
      </c>
      <c r="E47" s="166"/>
      <c r="F47" s="166" t="s">
        <v>157</v>
      </c>
      <c r="G47" s="381">
        <f>IF(A47="X",C47,0)</f>
        <v>5075</v>
      </c>
      <c r="H47" s="381">
        <v>0</v>
      </c>
      <c r="I47" s="388">
        <v>0</v>
      </c>
      <c r="J47" s="410">
        <f>SUM(I47-G47)</f>
        <v>-5075</v>
      </c>
    </row>
    <row r="48" spans="1:10" ht="13.5" thickBot="1">
      <c r="A48" s="207" t="s">
        <v>42</v>
      </c>
      <c r="B48" s="226" t="s">
        <v>125</v>
      </c>
      <c r="C48" s="182">
        <v>436295</v>
      </c>
      <c r="D48" s="183">
        <v>8619</v>
      </c>
      <c r="E48" s="184"/>
      <c r="F48" s="184" t="s">
        <v>157</v>
      </c>
      <c r="G48" s="384">
        <f>IF(A48="X",C48,0)</f>
        <v>436295</v>
      </c>
      <c r="H48" s="384">
        <v>0</v>
      </c>
      <c r="I48" s="413">
        <v>0</v>
      </c>
      <c r="J48" s="411">
        <f>SUM(I48-G48)</f>
        <v>-436295</v>
      </c>
    </row>
    <row r="49" spans="1:10" ht="13.5" thickBot="1">
      <c r="A49" s="9"/>
      <c r="B49" s="244"/>
      <c r="C49" s="243"/>
      <c r="D49" s="184"/>
      <c r="E49" s="184" t="s">
        <v>134</v>
      </c>
      <c r="F49" s="184"/>
      <c r="G49" s="382">
        <f>SUM(G23:G48)</f>
        <v>5752895</v>
      </c>
      <c r="H49" s="382">
        <f>SUM(H23:H48)</f>
        <v>3932900</v>
      </c>
      <c r="I49" s="408">
        <f>SUM(I23:I48)</f>
        <v>3932900</v>
      </c>
      <c r="J49" s="376">
        <f>SUM(J23:J48)</f>
        <v>-1819995</v>
      </c>
    </row>
    <row r="50" spans="1:10" s="14" customFormat="1" ht="12.75">
      <c r="A50" s="147"/>
      <c r="B50" s="215"/>
      <c r="C50" s="179"/>
      <c r="D50" s="33"/>
      <c r="E50" s="33"/>
      <c r="F50" s="33"/>
      <c r="G50" s="383"/>
      <c r="H50" s="383"/>
      <c r="I50" s="383"/>
      <c r="J50" s="383"/>
    </row>
    <row r="51" spans="1:10" s="14" customFormat="1" ht="12.75">
      <c r="A51" s="147"/>
      <c r="B51" s="190" t="s">
        <v>129</v>
      </c>
      <c r="C51"/>
      <c r="D51" s="127"/>
      <c r="E51" t="s">
        <v>128</v>
      </c>
      <c r="F51"/>
      <c r="G51" s="383"/>
      <c r="H51" s="383"/>
      <c r="I51" s="383"/>
      <c r="J51" s="383"/>
    </row>
    <row r="52" spans="1:10" s="14" customFormat="1" ht="12.75">
      <c r="A52" s="147"/>
      <c r="B52" s="189"/>
      <c r="C52" s="127"/>
      <c r="D52"/>
      <c r="E52" t="s">
        <v>130</v>
      </c>
      <c r="F52"/>
      <c r="G52" s="383"/>
      <c r="H52" s="383"/>
      <c r="I52" s="383"/>
      <c r="J52" s="383"/>
    </row>
    <row r="53" spans="1:10" s="14" customFormat="1" ht="12.75">
      <c r="A53" s="147"/>
      <c r="B53" s="43" t="s">
        <v>159</v>
      </c>
      <c r="C53" s="127"/>
      <c r="D53"/>
      <c r="E53" t="s">
        <v>163</v>
      </c>
      <c r="F53"/>
      <c r="G53" s="383"/>
      <c r="H53" s="383"/>
      <c r="I53" s="383"/>
      <c r="J53" s="383"/>
    </row>
    <row r="54" spans="1:10" s="14" customFormat="1" ht="12.75">
      <c r="A54" s="147"/>
      <c r="B54" s="43" t="s">
        <v>160</v>
      </c>
      <c r="C54" s="127"/>
      <c r="D54"/>
      <c r="E54" t="s">
        <v>164</v>
      </c>
      <c r="F54"/>
      <c r="G54" s="383"/>
      <c r="H54" s="383"/>
      <c r="I54" s="383"/>
      <c r="J54" s="383"/>
    </row>
    <row r="55" spans="1:10" s="14" customFormat="1" ht="12.75">
      <c r="A55" s="147"/>
      <c r="B55" s="43" t="s">
        <v>161</v>
      </c>
      <c r="C55" s="127"/>
      <c r="D55"/>
      <c r="E55" t="s">
        <v>162</v>
      </c>
      <c r="F55"/>
      <c r="G55" s="383"/>
      <c r="H55" s="383"/>
      <c r="I55" s="383"/>
      <c r="J55" s="383"/>
    </row>
    <row r="56" spans="1:10" s="14" customFormat="1" ht="12.75">
      <c r="A56" s="147"/>
      <c r="B56" s="43"/>
      <c r="C56" s="127"/>
      <c r="D56"/>
      <c r="E56"/>
      <c r="F56"/>
      <c r="G56" s="383"/>
      <c r="H56" s="383"/>
      <c r="I56" s="383"/>
      <c r="J56" s="383"/>
    </row>
    <row r="57" spans="1:10" s="14" customFormat="1" ht="12.75">
      <c r="A57" s="147"/>
      <c r="B57" s="43"/>
      <c r="C57" s="127"/>
      <c r="D57"/>
      <c r="E57"/>
      <c r="F57"/>
      <c r="G57" s="383"/>
      <c r="H57" s="383"/>
      <c r="I57" s="383"/>
      <c r="J57" s="383"/>
    </row>
    <row r="58" spans="1:10" s="14" customFormat="1" ht="12.75">
      <c r="A58" s="147"/>
      <c r="B58" s="215"/>
      <c r="C58" s="179"/>
      <c r="D58" s="33"/>
      <c r="E58" s="33"/>
      <c r="F58" s="33"/>
      <c r="G58" s="383"/>
      <c r="H58" s="383"/>
      <c r="I58" s="383"/>
      <c r="J58" s="383"/>
    </row>
    <row r="59" spans="1:10" s="14" customFormat="1" ht="16.5" thickBot="1">
      <c r="A59" s="167"/>
      <c r="B59" s="211" t="s">
        <v>135</v>
      </c>
      <c r="C59" s="179"/>
      <c r="D59" s="33"/>
      <c r="E59" s="33"/>
      <c r="F59" s="33"/>
      <c r="G59" s="383"/>
      <c r="H59" s="383"/>
      <c r="I59" s="383"/>
      <c r="J59" s="383"/>
    </row>
    <row r="60" spans="1:10" ht="12.75">
      <c r="A60" s="167" t="s">
        <v>42</v>
      </c>
      <c r="B60" s="241" t="s">
        <v>21</v>
      </c>
      <c r="C60" s="233">
        <v>193481</v>
      </c>
      <c r="D60" s="234">
        <v>4521</v>
      </c>
      <c r="E60" s="235"/>
      <c r="F60" s="235" t="s">
        <v>156</v>
      </c>
      <c r="G60" s="378">
        <f>IF(A60="X",C60,0)</f>
        <v>193481</v>
      </c>
      <c r="H60" s="378">
        <v>0</v>
      </c>
      <c r="I60" s="406">
        <v>0</v>
      </c>
      <c r="J60" s="409">
        <f>SUM(I60-G60)</f>
        <v>-193481</v>
      </c>
    </row>
    <row r="61" spans="1:10" ht="12.75">
      <c r="A61" s="167" t="s">
        <v>42</v>
      </c>
      <c r="B61" s="151" t="s">
        <v>24</v>
      </c>
      <c r="C61" s="1">
        <v>76010</v>
      </c>
      <c r="D61" s="31">
        <v>1115</v>
      </c>
      <c r="E61" s="166"/>
      <c r="F61" s="166" t="s">
        <v>156</v>
      </c>
      <c r="G61" s="381">
        <f>IF(A61="X",C61,0)</f>
        <v>76010</v>
      </c>
      <c r="H61" s="381">
        <v>0</v>
      </c>
      <c r="I61" s="388">
        <v>0</v>
      </c>
      <c r="J61" s="410">
        <f>SUM(I61-G61)</f>
        <v>-76010</v>
      </c>
    </row>
    <row r="62" spans="1:10" ht="12.75">
      <c r="A62" s="167" t="s">
        <v>42</v>
      </c>
      <c r="B62" s="152" t="s">
        <v>28</v>
      </c>
      <c r="C62" s="1">
        <v>55719</v>
      </c>
      <c r="D62" s="31">
        <v>1464</v>
      </c>
      <c r="E62" s="166"/>
      <c r="F62" s="166" t="s">
        <v>157</v>
      </c>
      <c r="G62" s="381">
        <f>IF(A62="X",C62,0)</f>
        <v>55719</v>
      </c>
      <c r="H62" s="381"/>
      <c r="I62" s="388">
        <f>SUM(H63:H64)</f>
        <v>87800</v>
      </c>
      <c r="J62" s="410">
        <f>SUM(I62-G62)</f>
        <v>32081</v>
      </c>
    </row>
    <row r="63" spans="1:10" ht="12.75">
      <c r="A63" s="167"/>
      <c r="B63" s="152"/>
      <c r="C63" s="1"/>
      <c r="D63" s="31"/>
      <c r="E63" s="166" t="s">
        <v>185</v>
      </c>
      <c r="F63" s="166"/>
      <c r="G63" s="381"/>
      <c r="H63" s="381">
        <v>0</v>
      </c>
      <c r="I63" s="388" t="s">
        <v>127</v>
      </c>
      <c r="J63" s="410"/>
    </row>
    <row r="64" spans="1:10" ht="12.75">
      <c r="A64" s="167"/>
      <c r="B64" s="152"/>
      <c r="C64" s="1"/>
      <c r="D64" s="31"/>
      <c r="E64" s="166" t="s">
        <v>179</v>
      </c>
      <c r="F64" s="166"/>
      <c r="G64" s="381"/>
      <c r="H64" s="381">
        <v>87800</v>
      </c>
      <c r="I64" s="388" t="s">
        <v>127</v>
      </c>
      <c r="J64" s="410"/>
    </row>
    <row r="65" spans="1:10" ht="12.75">
      <c r="A65" s="167" t="s">
        <v>42</v>
      </c>
      <c r="B65" s="151" t="s">
        <v>14</v>
      </c>
      <c r="C65" s="1">
        <v>10334</v>
      </c>
      <c r="D65" s="31">
        <v>5244</v>
      </c>
      <c r="E65" s="166"/>
      <c r="F65" s="166" t="s">
        <v>157</v>
      </c>
      <c r="G65" s="381">
        <f aca="true" t="shared" si="2" ref="G65:G70">IF(A65="X",C65,0)</f>
        <v>10334</v>
      </c>
      <c r="H65" s="381">
        <v>43400</v>
      </c>
      <c r="I65" s="388">
        <v>43400</v>
      </c>
      <c r="J65" s="410">
        <f aca="true" t="shared" si="3" ref="J65:J70">SUM(I65-G65)</f>
        <v>33066</v>
      </c>
    </row>
    <row r="66" spans="1:10" ht="12.75">
      <c r="A66" s="167" t="s">
        <v>42</v>
      </c>
      <c r="B66" s="151" t="s">
        <v>13</v>
      </c>
      <c r="C66" s="1">
        <v>6231</v>
      </c>
      <c r="D66" s="31">
        <v>2000</v>
      </c>
      <c r="E66" s="166"/>
      <c r="F66" s="166" t="s">
        <v>157</v>
      </c>
      <c r="G66" s="381">
        <f t="shared" si="2"/>
        <v>6231</v>
      </c>
      <c r="H66" s="381">
        <v>0</v>
      </c>
      <c r="I66" s="388">
        <v>0</v>
      </c>
      <c r="J66" s="410">
        <f t="shared" si="3"/>
        <v>-6231</v>
      </c>
    </row>
    <row r="67" spans="1:10" ht="12.75">
      <c r="A67" s="167" t="s">
        <v>42</v>
      </c>
      <c r="B67" s="151" t="s">
        <v>16</v>
      </c>
      <c r="C67" s="1">
        <v>15643</v>
      </c>
      <c r="D67" s="31">
        <v>2000</v>
      </c>
      <c r="E67" s="166"/>
      <c r="F67" s="166" t="s">
        <v>157</v>
      </c>
      <c r="G67" s="381">
        <f t="shared" si="2"/>
        <v>15643</v>
      </c>
      <c r="H67" s="381">
        <v>0</v>
      </c>
      <c r="I67" s="388">
        <v>0</v>
      </c>
      <c r="J67" s="410">
        <f t="shared" si="3"/>
        <v>-15643</v>
      </c>
    </row>
    <row r="68" spans="1:10" ht="12.75">
      <c r="A68" s="167" t="s">
        <v>42</v>
      </c>
      <c r="B68" s="151" t="s">
        <v>82</v>
      </c>
      <c r="C68" s="1">
        <v>144786</v>
      </c>
      <c r="D68" s="31">
        <v>2069</v>
      </c>
      <c r="E68" s="166"/>
      <c r="F68" s="166" t="s">
        <v>156</v>
      </c>
      <c r="G68" s="381">
        <f t="shared" si="2"/>
        <v>144786</v>
      </c>
      <c r="H68" s="381">
        <v>61800</v>
      </c>
      <c r="I68" s="388">
        <v>61800</v>
      </c>
      <c r="J68" s="410">
        <f t="shared" si="3"/>
        <v>-82986</v>
      </c>
    </row>
    <row r="69" spans="1:10" ht="12.75">
      <c r="A69" s="167" t="s">
        <v>42</v>
      </c>
      <c r="B69" s="151" t="s">
        <v>12</v>
      </c>
      <c r="C69" s="1">
        <v>20833</v>
      </c>
      <c r="D69" s="31">
        <v>2500</v>
      </c>
      <c r="E69" s="166"/>
      <c r="F69" s="166" t="s">
        <v>157</v>
      </c>
      <c r="G69" s="381">
        <f t="shared" si="2"/>
        <v>20833</v>
      </c>
      <c r="H69" s="381">
        <v>0</v>
      </c>
      <c r="I69" s="388">
        <v>0</v>
      </c>
      <c r="J69" s="410">
        <f t="shared" si="3"/>
        <v>-20833</v>
      </c>
    </row>
    <row r="70" spans="1:10" ht="12.75">
      <c r="A70" s="167" t="s">
        <v>42</v>
      </c>
      <c r="B70" s="205" t="s">
        <v>6</v>
      </c>
      <c r="C70" s="45">
        <v>465375</v>
      </c>
      <c r="D70" s="46">
        <v>49212</v>
      </c>
      <c r="E70" s="166"/>
      <c r="F70" s="166" t="s">
        <v>156</v>
      </c>
      <c r="G70" s="381">
        <f t="shared" si="2"/>
        <v>465375</v>
      </c>
      <c r="H70" s="381"/>
      <c r="I70" s="388">
        <f>SUM(H71:H82)</f>
        <v>160900</v>
      </c>
      <c r="J70" s="410">
        <f t="shared" si="3"/>
        <v>-304475</v>
      </c>
    </row>
    <row r="71" spans="1:10" ht="12.75">
      <c r="A71" s="167"/>
      <c r="B71" s="248"/>
      <c r="C71" s="179"/>
      <c r="D71" s="33"/>
      <c r="E71" s="33" t="s">
        <v>174</v>
      </c>
      <c r="F71" s="166"/>
      <c r="G71" s="381"/>
      <c r="H71" s="381">
        <v>16100</v>
      </c>
      <c r="I71" s="388"/>
      <c r="J71" s="410"/>
    </row>
    <row r="72" spans="1:10" ht="12.75">
      <c r="A72" s="167"/>
      <c r="B72" s="248"/>
      <c r="C72" s="179"/>
      <c r="D72" s="33"/>
      <c r="E72" s="33" t="s">
        <v>177</v>
      </c>
      <c r="F72" s="166"/>
      <c r="G72" s="381"/>
      <c r="H72" s="381">
        <v>15800</v>
      </c>
      <c r="I72" s="388"/>
      <c r="J72" s="410"/>
    </row>
    <row r="73" spans="1:10" ht="12.75">
      <c r="A73" s="167"/>
      <c r="B73" s="248"/>
      <c r="C73" s="179"/>
      <c r="D73" s="33"/>
      <c r="E73" s="33" t="s">
        <v>178</v>
      </c>
      <c r="F73" s="166"/>
      <c r="G73" s="381"/>
      <c r="H73" s="381">
        <v>9500</v>
      </c>
      <c r="I73" s="388"/>
      <c r="J73" s="410"/>
    </row>
    <row r="74" spans="1:10" ht="12.75">
      <c r="A74" s="167"/>
      <c r="B74" s="248"/>
      <c r="C74" s="179"/>
      <c r="D74" s="33"/>
      <c r="E74" s="33" t="s">
        <v>179</v>
      </c>
      <c r="F74" s="166"/>
      <c r="G74" s="381"/>
      <c r="H74" s="381">
        <v>17400</v>
      </c>
      <c r="I74" s="388"/>
      <c r="J74" s="410"/>
    </row>
    <row r="75" spans="1:10" ht="12.75">
      <c r="A75" s="167"/>
      <c r="B75" s="248"/>
      <c r="C75" s="179"/>
      <c r="D75" s="33"/>
      <c r="E75" s="33" t="s">
        <v>171</v>
      </c>
      <c r="F75" s="166"/>
      <c r="G75" s="381"/>
      <c r="H75" s="381">
        <v>12400</v>
      </c>
      <c r="I75" s="388"/>
      <c r="J75" s="410"/>
    </row>
    <row r="76" spans="1:10" ht="12.75">
      <c r="A76" s="167"/>
      <c r="B76" s="248"/>
      <c r="C76" s="179"/>
      <c r="D76" s="33"/>
      <c r="E76" s="33" t="s">
        <v>190</v>
      </c>
      <c r="F76" s="166"/>
      <c r="G76" s="381"/>
      <c r="H76" s="381">
        <v>10300</v>
      </c>
      <c r="I76" s="388"/>
      <c r="J76" s="410"/>
    </row>
    <row r="77" spans="1:10" ht="12.75">
      <c r="A77" s="167"/>
      <c r="B77" s="248"/>
      <c r="C77" s="179"/>
      <c r="D77" s="33"/>
      <c r="E77" s="33" t="s">
        <v>180</v>
      </c>
      <c r="F77" s="166"/>
      <c r="G77" s="381"/>
      <c r="H77" s="381">
        <v>16700</v>
      </c>
      <c r="I77" s="388"/>
      <c r="J77" s="410"/>
    </row>
    <row r="78" spans="1:10" ht="12.75">
      <c r="A78" s="167"/>
      <c r="B78" s="248"/>
      <c r="C78" s="179"/>
      <c r="D78" s="33"/>
      <c r="E78" s="33" t="s">
        <v>181</v>
      </c>
      <c r="F78" s="166"/>
      <c r="G78" s="381"/>
      <c r="H78" s="381">
        <v>17500</v>
      </c>
      <c r="I78" s="388"/>
      <c r="J78" s="410"/>
    </row>
    <row r="79" spans="1:10" ht="12.75">
      <c r="A79" s="167"/>
      <c r="B79" s="248"/>
      <c r="C79" s="179"/>
      <c r="D79" s="33"/>
      <c r="E79" s="33" t="s">
        <v>182</v>
      </c>
      <c r="F79" s="166"/>
      <c r="G79" s="381"/>
      <c r="H79" s="381">
        <v>17500</v>
      </c>
      <c r="I79" s="388"/>
      <c r="J79" s="410"/>
    </row>
    <row r="80" spans="1:10" ht="12.75">
      <c r="A80" s="167"/>
      <c r="B80" s="248"/>
      <c r="C80" s="179"/>
      <c r="D80" s="33"/>
      <c r="E80" s="33" t="s">
        <v>183</v>
      </c>
      <c r="F80" s="166"/>
      <c r="G80" s="381"/>
      <c r="H80" s="381">
        <v>0</v>
      </c>
      <c r="I80" s="388"/>
      <c r="J80" s="410"/>
    </row>
    <row r="81" spans="1:10" ht="12.75">
      <c r="A81" s="167"/>
      <c r="B81" s="248"/>
      <c r="C81" s="179"/>
      <c r="D81" s="33"/>
      <c r="E81" s="33" t="s">
        <v>184</v>
      </c>
      <c r="F81" s="166"/>
      <c r="G81" s="381"/>
      <c r="H81" s="381">
        <v>15200</v>
      </c>
      <c r="I81" s="388"/>
      <c r="J81" s="410"/>
    </row>
    <row r="82" spans="1:10" ht="12.75">
      <c r="A82" s="167"/>
      <c r="B82" s="248"/>
      <c r="C82" s="179"/>
      <c r="D82" s="33"/>
      <c r="E82" s="33" t="s">
        <v>185</v>
      </c>
      <c r="F82" s="166"/>
      <c r="G82" s="381"/>
      <c r="H82" s="381">
        <v>12500</v>
      </c>
      <c r="I82" s="388"/>
      <c r="J82" s="410"/>
    </row>
    <row r="83" spans="1:10" ht="13.5" thickBot="1">
      <c r="A83" s="217" t="s">
        <v>42</v>
      </c>
      <c r="B83" s="248" t="s">
        <v>23</v>
      </c>
      <c r="C83" s="179">
        <v>18031</v>
      </c>
      <c r="D83" s="33">
        <v>500</v>
      </c>
      <c r="E83" s="33"/>
      <c r="F83" s="166" t="s">
        <v>156</v>
      </c>
      <c r="G83" s="381">
        <f aca="true" t="shared" si="4" ref="G83:G91">IF(A83="X",C83,0)</f>
        <v>18031</v>
      </c>
      <c r="H83" s="381">
        <v>21200</v>
      </c>
      <c r="I83" s="388">
        <v>21200</v>
      </c>
      <c r="J83" s="410">
        <f aca="true" t="shared" si="5" ref="J83:J91">SUM(H83-G83)</f>
        <v>3169</v>
      </c>
    </row>
    <row r="84" spans="1:10" ht="12.75">
      <c r="A84" s="167" t="s">
        <v>42</v>
      </c>
      <c r="B84" s="149" t="s">
        <v>31</v>
      </c>
      <c r="C84" s="21">
        <v>69846</v>
      </c>
      <c r="D84" s="30">
        <v>6097</v>
      </c>
      <c r="E84" s="166"/>
      <c r="F84" s="166" t="s">
        <v>158</v>
      </c>
      <c r="G84" s="381">
        <f t="shared" si="4"/>
        <v>69846</v>
      </c>
      <c r="H84" s="381">
        <v>0</v>
      </c>
      <c r="I84" s="388">
        <v>0</v>
      </c>
      <c r="J84" s="410">
        <f t="shared" si="5"/>
        <v>-69846</v>
      </c>
    </row>
    <row r="85" spans="1:10" ht="12.75">
      <c r="A85" s="167" t="s">
        <v>42</v>
      </c>
      <c r="B85" s="151" t="s">
        <v>36</v>
      </c>
      <c r="C85" s="1">
        <v>25509</v>
      </c>
      <c r="D85" s="31">
        <v>15098</v>
      </c>
      <c r="E85" s="166"/>
      <c r="F85" s="166" t="s">
        <v>158</v>
      </c>
      <c r="G85" s="381">
        <f t="shared" si="4"/>
        <v>25509</v>
      </c>
      <c r="H85" s="381">
        <v>0</v>
      </c>
      <c r="I85" s="388">
        <v>0</v>
      </c>
      <c r="J85" s="410">
        <f t="shared" si="5"/>
        <v>-25509</v>
      </c>
    </row>
    <row r="86" spans="1:10" ht="12.75">
      <c r="A86" s="167" t="s">
        <v>42</v>
      </c>
      <c r="B86" s="151" t="s">
        <v>33</v>
      </c>
      <c r="C86" s="1">
        <v>541391</v>
      </c>
      <c r="D86" s="31">
        <v>7500</v>
      </c>
      <c r="E86" s="166"/>
      <c r="F86" s="166" t="s">
        <v>158</v>
      </c>
      <c r="G86" s="381">
        <f t="shared" si="4"/>
        <v>541391</v>
      </c>
      <c r="H86" s="381">
        <v>0</v>
      </c>
      <c r="I86" s="388">
        <v>0</v>
      </c>
      <c r="J86" s="410">
        <f t="shared" si="5"/>
        <v>-541391</v>
      </c>
    </row>
    <row r="87" spans="1:10" ht="12.75">
      <c r="A87" s="167" t="s">
        <v>42</v>
      </c>
      <c r="B87" s="151" t="s">
        <v>8</v>
      </c>
      <c r="C87" s="1">
        <v>77134</v>
      </c>
      <c r="D87" s="31">
        <v>500</v>
      </c>
      <c r="E87" s="166"/>
      <c r="F87" s="166" t="s">
        <v>158</v>
      </c>
      <c r="G87" s="381">
        <f t="shared" si="4"/>
        <v>77134</v>
      </c>
      <c r="H87" s="381">
        <v>20100</v>
      </c>
      <c r="I87" s="388">
        <v>20100</v>
      </c>
      <c r="J87" s="410">
        <f t="shared" si="5"/>
        <v>-57034</v>
      </c>
    </row>
    <row r="88" spans="1:10" ht="12.75">
      <c r="A88" s="167" t="s">
        <v>42</v>
      </c>
      <c r="B88" s="151" t="s">
        <v>17</v>
      </c>
      <c r="C88" s="1">
        <v>293398</v>
      </c>
      <c r="D88" s="31">
        <v>1214</v>
      </c>
      <c r="E88" s="166"/>
      <c r="F88" s="166" t="s">
        <v>158</v>
      </c>
      <c r="G88" s="381">
        <f t="shared" si="4"/>
        <v>293398</v>
      </c>
      <c r="H88" s="381">
        <v>51500</v>
      </c>
      <c r="I88" s="388">
        <v>51500</v>
      </c>
      <c r="J88" s="410">
        <f t="shared" si="5"/>
        <v>-241898</v>
      </c>
    </row>
    <row r="89" spans="1:10" ht="12.75">
      <c r="A89" s="207" t="s">
        <v>42</v>
      </c>
      <c r="B89" s="152" t="s">
        <v>38</v>
      </c>
      <c r="C89" s="1">
        <v>1617630</v>
      </c>
      <c r="D89" s="31">
        <v>39023</v>
      </c>
      <c r="E89" s="166"/>
      <c r="F89" s="166" t="s">
        <v>158</v>
      </c>
      <c r="G89" s="379">
        <f t="shared" si="4"/>
        <v>1617630</v>
      </c>
      <c r="H89" s="379">
        <v>1205100</v>
      </c>
      <c r="I89" s="407">
        <v>1205100</v>
      </c>
      <c r="J89" s="410">
        <f t="shared" si="5"/>
        <v>-412530</v>
      </c>
    </row>
    <row r="90" spans="1:10" ht="12.75">
      <c r="A90" s="167" t="s">
        <v>42</v>
      </c>
      <c r="B90" s="151" t="s">
        <v>37</v>
      </c>
      <c r="C90" s="204">
        <v>187123</v>
      </c>
      <c r="D90" s="31">
        <v>10144</v>
      </c>
      <c r="E90" s="166"/>
      <c r="F90" s="166" t="s">
        <v>158</v>
      </c>
      <c r="G90" s="381">
        <f t="shared" si="4"/>
        <v>187123</v>
      </c>
      <c r="H90" s="381">
        <v>195700</v>
      </c>
      <c r="I90" s="388">
        <v>195700</v>
      </c>
      <c r="J90" s="410">
        <f t="shared" si="5"/>
        <v>8577</v>
      </c>
    </row>
    <row r="91" spans="1:10" ht="12.75">
      <c r="A91" s="167" t="s">
        <v>42</v>
      </c>
      <c r="B91" s="151" t="s">
        <v>7</v>
      </c>
      <c r="C91" s="1">
        <f>567402+10000</f>
        <v>577402</v>
      </c>
      <c r="D91" s="31">
        <v>42719.5</v>
      </c>
      <c r="E91" s="166"/>
      <c r="F91" s="166" t="s">
        <v>158</v>
      </c>
      <c r="G91" s="381">
        <f t="shared" si="4"/>
        <v>577402</v>
      </c>
      <c r="H91" s="381"/>
      <c r="I91" s="388">
        <f>SUM(H92:H100)</f>
        <v>94600</v>
      </c>
      <c r="J91" s="410">
        <f t="shared" si="5"/>
        <v>-577402</v>
      </c>
    </row>
    <row r="92" spans="1:10" ht="12.75">
      <c r="A92" s="167"/>
      <c r="B92" s="151"/>
      <c r="C92" s="1"/>
      <c r="D92" s="31"/>
      <c r="E92" s="166" t="s">
        <v>174</v>
      </c>
      <c r="F92" s="166"/>
      <c r="G92" s="381"/>
      <c r="H92" s="381">
        <v>8200</v>
      </c>
      <c r="I92" s="388"/>
      <c r="J92" s="410"/>
    </row>
    <row r="93" spans="1:10" ht="12.75">
      <c r="A93" s="167"/>
      <c r="B93" s="151"/>
      <c r="C93" s="1"/>
      <c r="D93" s="31"/>
      <c r="E93" s="166" t="s">
        <v>178</v>
      </c>
      <c r="F93" s="166"/>
      <c r="G93" s="381"/>
      <c r="H93" s="381">
        <v>8200</v>
      </c>
      <c r="I93" s="388"/>
      <c r="J93" s="410"/>
    </row>
    <row r="94" spans="1:10" ht="12.75">
      <c r="A94" s="167"/>
      <c r="B94" s="151"/>
      <c r="C94" s="1"/>
      <c r="D94" s="31"/>
      <c r="E94" s="166" t="s">
        <v>179</v>
      </c>
      <c r="F94" s="166"/>
      <c r="G94" s="381"/>
      <c r="H94" s="381">
        <v>8200</v>
      </c>
      <c r="I94" s="388"/>
      <c r="J94" s="410"/>
    </row>
    <row r="95" spans="1:10" ht="12.75">
      <c r="A95" s="167"/>
      <c r="B95" s="151"/>
      <c r="C95" s="1"/>
      <c r="D95" s="31"/>
      <c r="E95" s="166" t="s">
        <v>171</v>
      </c>
      <c r="F95" s="166"/>
      <c r="G95" s="381"/>
      <c r="H95" s="381">
        <v>20600</v>
      </c>
      <c r="I95" s="388"/>
      <c r="J95" s="410"/>
    </row>
    <row r="96" spans="1:10" ht="12.75">
      <c r="A96" s="167"/>
      <c r="B96" s="151"/>
      <c r="C96" s="1"/>
      <c r="D96" s="31"/>
      <c r="E96" s="166" t="s">
        <v>180</v>
      </c>
      <c r="F96" s="166"/>
      <c r="G96" s="381"/>
      <c r="H96" s="381">
        <v>10300</v>
      </c>
      <c r="I96" s="388"/>
      <c r="J96" s="410"/>
    </row>
    <row r="97" spans="1:10" ht="12.75">
      <c r="A97" s="167"/>
      <c r="B97" s="151"/>
      <c r="C97" s="1"/>
      <c r="D97" s="31"/>
      <c r="E97" s="166" t="s">
        <v>181</v>
      </c>
      <c r="F97" s="166"/>
      <c r="G97" s="381"/>
      <c r="H97" s="381">
        <v>10300</v>
      </c>
      <c r="I97" s="388"/>
      <c r="J97" s="410"/>
    </row>
    <row r="98" spans="1:10" ht="12.75">
      <c r="A98" s="167"/>
      <c r="B98" s="151"/>
      <c r="C98" s="1"/>
      <c r="D98" s="31"/>
      <c r="E98" s="166" t="s">
        <v>182</v>
      </c>
      <c r="F98" s="166"/>
      <c r="G98" s="381"/>
      <c r="H98" s="381">
        <v>12400</v>
      </c>
      <c r="I98" s="388"/>
      <c r="J98" s="410"/>
    </row>
    <row r="99" spans="1:10" ht="12.75">
      <c r="A99" s="167"/>
      <c r="B99" s="151"/>
      <c r="C99" s="1"/>
      <c r="D99" s="31"/>
      <c r="E99" s="166" t="s">
        <v>184</v>
      </c>
      <c r="F99" s="166"/>
      <c r="G99" s="381"/>
      <c r="H99" s="381">
        <v>8200</v>
      </c>
      <c r="I99" s="388"/>
      <c r="J99" s="410"/>
    </row>
    <row r="100" spans="1:10" ht="12.75">
      <c r="A100" s="167"/>
      <c r="B100" s="151"/>
      <c r="C100" s="1"/>
      <c r="D100" s="31"/>
      <c r="E100" s="166" t="s">
        <v>185</v>
      </c>
      <c r="F100" s="166"/>
      <c r="G100" s="381"/>
      <c r="H100" s="381">
        <v>8200</v>
      </c>
      <c r="I100" s="388"/>
      <c r="J100" s="410"/>
    </row>
    <row r="101" spans="1:10" s="43" customFormat="1" ht="12.75">
      <c r="A101" s="167" t="s">
        <v>42</v>
      </c>
      <c r="B101" s="151" t="s">
        <v>9</v>
      </c>
      <c r="C101" s="1">
        <v>130023</v>
      </c>
      <c r="D101" s="31">
        <v>8214</v>
      </c>
      <c r="E101" s="166"/>
      <c r="F101" s="166" t="s">
        <v>158</v>
      </c>
      <c r="G101" s="381">
        <f>IF(A101="X",C101,0)</f>
        <v>130023</v>
      </c>
      <c r="H101" s="381">
        <v>0</v>
      </c>
      <c r="I101" s="388">
        <f>SUM(H101)</f>
        <v>0</v>
      </c>
      <c r="J101" s="410">
        <f>SUM(I101-G101)</f>
        <v>-130023</v>
      </c>
    </row>
    <row r="102" spans="1:10" ht="12.75">
      <c r="A102" s="207" t="s">
        <v>42</v>
      </c>
      <c r="B102" s="151" t="s">
        <v>56</v>
      </c>
      <c r="C102" s="1">
        <f>324248+100000</f>
        <v>424248</v>
      </c>
      <c r="D102" s="31">
        <v>26327</v>
      </c>
      <c r="E102" s="166"/>
      <c r="F102" s="166" t="s">
        <v>158</v>
      </c>
      <c r="G102" s="379">
        <f>IF(A102="X",C102,0)</f>
        <v>424248</v>
      </c>
      <c r="H102" s="379"/>
      <c r="I102" s="407">
        <f>SUM(H103:H112)</f>
        <v>175500</v>
      </c>
      <c r="J102" s="410">
        <f>SUM(I102-G102)</f>
        <v>-248748</v>
      </c>
    </row>
    <row r="103" spans="1:10" ht="12.75">
      <c r="A103" s="207"/>
      <c r="B103" s="151"/>
      <c r="C103" s="1"/>
      <c r="D103" s="31"/>
      <c r="E103" s="166" t="s">
        <v>194</v>
      </c>
      <c r="F103" s="166"/>
      <c r="G103" s="379"/>
      <c r="H103" s="379">
        <v>0</v>
      </c>
      <c r="I103" s="407"/>
      <c r="J103" s="415"/>
    </row>
    <row r="104" spans="1:10" ht="12.75">
      <c r="A104" s="207"/>
      <c r="B104" s="151"/>
      <c r="C104" s="1"/>
      <c r="D104" s="31"/>
      <c r="E104" s="166" t="s">
        <v>195</v>
      </c>
      <c r="F104" s="166"/>
      <c r="G104" s="379"/>
      <c r="H104" s="379">
        <v>0</v>
      </c>
      <c r="I104" s="407"/>
      <c r="J104" s="415"/>
    </row>
    <row r="105" spans="1:10" ht="12.75">
      <c r="A105" s="207"/>
      <c r="B105" s="151"/>
      <c r="C105" s="1"/>
      <c r="D105" s="31"/>
      <c r="E105" s="166" t="s">
        <v>196</v>
      </c>
      <c r="F105" s="166"/>
      <c r="G105" s="379"/>
      <c r="H105" s="379">
        <v>0</v>
      </c>
      <c r="I105" s="407"/>
      <c r="J105" s="415"/>
    </row>
    <row r="106" spans="1:10" ht="12.75">
      <c r="A106" s="207"/>
      <c r="B106" s="151"/>
      <c r="C106" s="1"/>
      <c r="D106" s="31"/>
      <c r="E106" s="166" t="s">
        <v>200</v>
      </c>
      <c r="F106" s="166"/>
      <c r="G106" s="379"/>
      <c r="H106" s="379">
        <v>103000</v>
      </c>
      <c r="I106" s="407"/>
      <c r="J106" s="415"/>
    </row>
    <row r="107" spans="1:10" ht="12.75">
      <c r="A107" s="207"/>
      <c r="B107" s="151"/>
      <c r="C107" s="1"/>
      <c r="D107" s="31"/>
      <c r="E107" s="166" t="s">
        <v>172</v>
      </c>
      <c r="F107" s="166"/>
      <c r="G107" s="379"/>
      <c r="H107" s="379">
        <v>52500</v>
      </c>
      <c r="I107" s="407"/>
      <c r="J107" s="415"/>
    </row>
    <row r="108" spans="1:10" ht="12.75">
      <c r="A108" s="207"/>
      <c r="B108" s="151"/>
      <c r="C108" s="1"/>
      <c r="D108" s="31"/>
      <c r="E108" s="166" t="s">
        <v>198</v>
      </c>
      <c r="F108" s="166"/>
      <c r="G108" s="379"/>
      <c r="H108" s="379">
        <v>0</v>
      </c>
      <c r="I108" s="407"/>
      <c r="J108" s="415"/>
    </row>
    <row r="109" spans="1:10" ht="12.75">
      <c r="A109" s="207"/>
      <c r="B109" s="151"/>
      <c r="C109" s="1"/>
      <c r="D109" s="31"/>
      <c r="E109" s="166" t="s">
        <v>192</v>
      </c>
      <c r="F109" s="166"/>
      <c r="G109" s="379"/>
      <c r="H109" s="379">
        <v>0</v>
      </c>
      <c r="I109" s="407"/>
      <c r="J109" s="415"/>
    </row>
    <row r="110" spans="1:10" ht="12.75">
      <c r="A110" s="207"/>
      <c r="B110" s="151"/>
      <c r="C110" s="1"/>
      <c r="D110" s="31"/>
      <c r="E110" s="166" t="s">
        <v>193</v>
      </c>
      <c r="F110" s="166"/>
      <c r="G110" s="379"/>
      <c r="H110" s="379">
        <v>20000</v>
      </c>
      <c r="I110" s="407"/>
      <c r="J110" s="415"/>
    </row>
    <row r="111" spans="1:10" ht="12.75">
      <c r="A111" s="207"/>
      <c r="B111" s="151"/>
      <c r="C111" s="1"/>
      <c r="D111" s="31"/>
      <c r="E111" s="166" t="s">
        <v>197</v>
      </c>
      <c r="F111" s="166"/>
      <c r="G111" s="379"/>
      <c r="H111" s="379">
        <v>0</v>
      </c>
      <c r="I111" s="407"/>
      <c r="J111" s="415"/>
    </row>
    <row r="112" spans="1:10" ht="12.75">
      <c r="A112" s="207"/>
      <c r="B112" s="151"/>
      <c r="C112" s="1"/>
      <c r="D112" s="31"/>
      <c r="E112" s="166" t="s">
        <v>199</v>
      </c>
      <c r="F112" s="166"/>
      <c r="G112" s="379"/>
      <c r="H112" s="379">
        <v>0</v>
      </c>
      <c r="I112" s="407"/>
      <c r="J112" s="415"/>
    </row>
    <row r="113" spans="1:10" ht="12.75">
      <c r="A113" s="167" t="s">
        <v>42</v>
      </c>
      <c r="B113" s="151" t="s">
        <v>26</v>
      </c>
      <c r="C113" s="1">
        <v>295796</v>
      </c>
      <c r="D113" s="31">
        <v>500</v>
      </c>
      <c r="E113" s="166"/>
      <c r="F113" s="166" t="s">
        <v>158</v>
      </c>
      <c r="G113" s="381">
        <f>IF(A113="X",C113,0)</f>
        <v>295796</v>
      </c>
      <c r="H113" s="381">
        <v>0</v>
      </c>
      <c r="I113" s="388">
        <v>0</v>
      </c>
      <c r="J113" s="410">
        <f>SUM(H113-G113)</f>
        <v>-295796</v>
      </c>
    </row>
    <row r="114" spans="1:10" ht="12.75">
      <c r="A114" s="167" t="s">
        <v>42</v>
      </c>
      <c r="B114" s="151" t="s">
        <v>111</v>
      </c>
      <c r="C114" s="1">
        <v>77464</v>
      </c>
      <c r="D114" s="31">
        <v>1332</v>
      </c>
      <c r="E114" s="166"/>
      <c r="F114" s="166" t="s">
        <v>156</v>
      </c>
      <c r="G114" s="381">
        <f>IF(A114="X",C114,0)</f>
        <v>77464</v>
      </c>
      <c r="H114" s="381">
        <v>41200</v>
      </c>
      <c r="I114" s="388">
        <v>41200</v>
      </c>
      <c r="J114" s="410">
        <f>SUM(H114-G114)</f>
        <v>-36264</v>
      </c>
    </row>
    <row r="115" spans="1:10" s="43" customFormat="1" ht="12.75">
      <c r="A115" s="167" t="s">
        <v>42</v>
      </c>
      <c r="B115" s="155" t="s">
        <v>34</v>
      </c>
      <c r="C115" s="1">
        <v>40139</v>
      </c>
      <c r="D115" s="31">
        <v>2500</v>
      </c>
      <c r="E115" s="166"/>
      <c r="F115" s="166" t="s">
        <v>158</v>
      </c>
      <c r="G115" s="381">
        <f>IF(A115="X",C115,0)</f>
        <v>40139</v>
      </c>
      <c r="H115" s="381">
        <v>0</v>
      </c>
      <c r="I115" s="388">
        <v>0</v>
      </c>
      <c r="J115" s="410">
        <f>SUM(H115-G115)</f>
        <v>-40139</v>
      </c>
    </row>
    <row r="116" spans="1:10" ht="12.75">
      <c r="A116" s="167" t="s">
        <v>42</v>
      </c>
      <c r="B116" s="205" t="s">
        <v>30</v>
      </c>
      <c r="C116" s="45">
        <v>17961</v>
      </c>
      <c r="D116" s="46">
        <v>500</v>
      </c>
      <c r="E116" s="166"/>
      <c r="F116" s="166" t="s">
        <v>158</v>
      </c>
      <c r="G116" s="381">
        <f>IF(A116="X",C116,0)</f>
        <v>17961</v>
      </c>
      <c r="H116" s="381">
        <v>0</v>
      </c>
      <c r="I116" s="388">
        <v>0</v>
      </c>
      <c r="J116" s="410">
        <f>SUM(H116-G116)</f>
        <v>-17961</v>
      </c>
    </row>
    <row r="117" spans="1:10" ht="12.75">
      <c r="A117" s="167" t="s">
        <v>42</v>
      </c>
      <c r="B117" s="248" t="s">
        <v>48</v>
      </c>
      <c r="C117" s="179">
        <v>136921</v>
      </c>
      <c r="D117" s="33">
        <v>3000</v>
      </c>
      <c r="E117" s="338"/>
      <c r="F117" s="166" t="s">
        <v>158</v>
      </c>
      <c r="G117" s="381">
        <f>IF(A117="X",C117,0)</f>
        <v>136921</v>
      </c>
      <c r="H117" s="381"/>
      <c r="I117" s="388"/>
      <c r="J117" s="410">
        <f>SUM(H117-G117)</f>
        <v>-136921</v>
      </c>
    </row>
    <row r="118" spans="1:10" ht="12.75">
      <c r="A118" s="167"/>
      <c r="B118" s="248"/>
      <c r="C118" s="179"/>
      <c r="D118" s="33"/>
      <c r="E118" s="338" t="s">
        <v>168</v>
      </c>
      <c r="F118" s="166"/>
      <c r="G118" s="381"/>
      <c r="H118" s="381">
        <v>20600</v>
      </c>
      <c r="I118" s="388">
        <v>20600</v>
      </c>
      <c r="J118" s="410"/>
    </row>
    <row r="119" spans="1:10" ht="12.75">
      <c r="A119" s="167"/>
      <c r="B119" s="248"/>
      <c r="C119" s="179"/>
      <c r="D119" s="33"/>
      <c r="E119" s="338" t="s">
        <v>180</v>
      </c>
      <c r="F119" s="166"/>
      <c r="G119" s="381"/>
      <c r="H119" s="381">
        <v>31900</v>
      </c>
      <c r="I119" s="388">
        <v>31900</v>
      </c>
      <c r="J119" s="410"/>
    </row>
    <row r="120" spans="1:10" ht="12.75">
      <c r="A120" s="167" t="s">
        <v>42</v>
      </c>
      <c r="B120" s="248" t="s">
        <v>11</v>
      </c>
      <c r="C120" s="179">
        <v>6957</v>
      </c>
      <c r="D120" s="33">
        <v>342</v>
      </c>
      <c r="E120" s="338"/>
      <c r="F120" s="166" t="s">
        <v>158</v>
      </c>
      <c r="G120" s="381">
        <f>IF(A120="X",C120,0)</f>
        <v>6957</v>
      </c>
      <c r="H120" s="381"/>
      <c r="I120" s="388"/>
      <c r="J120" s="410">
        <f>SUM(H120-G120)</f>
        <v>-6957</v>
      </c>
    </row>
    <row r="121" spans="1:10" ht="12.75">
      <c r="A121" s="167"/>
      <c r="B121" s="248"/>
      <c r="C121" s="179"/>
      <c r="D121" s="33"/>
      <c r="E121" s="33" t="s">
        <v>186</v>
      </c>
      <c r="F121" s="166"/>
      <c r="G121" s="381"/>
      <c r="H121" s="381">
        <v>5200</v>
      </c>
      <c r="I121" s="388">
        <v>5200</v>
      </c>
      <c r="J121" s="410"/>
    </row>
    <row r="122" spans="1:10" ht="12.75">
      <c r="A122" s="167"/>
      <c r="B122" s="248"/>
      <c r="C122" s="179"/>
      <c r="D122" s="33"/>
      <c r="E122" s="33" t="s">
        <v>201</v>
      </c>
      <c r="F122" s="166"/>
      <c r="G122" s="381"/>
      <c r="H122" s="381">
        <v>4100</v>
      </c>
      <c r="I122" s="388">
        <v>4100</v>
      </c>
      <c r="J122" s="410"/>
    </row>
    <row r="123" spans="1:10" ht="12.75">
      <c r="A123" s="167" t="s">
        <v>42</v>
      </c>
      <c r="B123" s="149" t="s">
        <v>18</v>
      </c>
      <c r="C123" s="21">
        <v>39831</v>
      </c>
      <c r="D123" s="30">
        <v>500</v>
      </c>
      <c r="E123" s="166"/>
      <c r="F123" s="166" t="s">
        <v>158</v>
      </c>
      <c r="G123" s="379">
        <f>IF(A123="X",C123,0)</f>
        <v>39831</v>
      </c>
      <c r="H123" s="379">
        <v>0</v>
      </c>
      <c r="I123" s="407">
        <v>0</v>
      </c>
      <c r="J123" s="415"/>
    </row>
    <row r="124" spans="1:10" s="164" customFormat="1" ht="13.5" thickBot="1">
      <c r="A124" s="245" t="s">
        <v>42</v>
      </c>
      <c r="B124" s="342" t="s">
        <v>119</v>
      </c>
      <c r="C124" s="343">
        <f>70000*1.25</f>
        <v>87500</v>
      </c>
      <c r="D124" s="344">
        <f>+(6191)*0</f>
        <v>0</v>
      </c>
      <c r="E124" s="345"/>
      <c r="F124" s="345" t="s">
        <v>158</v>
      </c>
      <c r="G124" s="384">
        <f>IF(A124="X",C124,0)</f>
        <v>87500</v>
      </c>
      <c r="H124" s="384">
        <v>0</v>
      </c>
      <c r="I124" s="413">
        <v>0</v>
      </c>
      <c r="J124" s="416"/>
    </row>
    <row r="125" spans="1:10" ht="13.5" thickBot="1">
      <c r="A125" s="217"/>
      <c r="B125" s="272"/>
      <c r="C125" s="273"/>
      <c r="D125" s="274"/>
      <c r="E125" s="274" t="s">
        <v>136</v>
      </c>
      <c r="F125" s="274"/>
      <c r="G125" s="385">
        <f>SUM(G60:G124)</f>
        <v>5652716</v>
      </c>
      <c r="H125" s="385">
        <f>SUM(H60:H124)</f>
        <v>2220600</v>
      </c>
      <c r="I125" s="414">
        <f>SUM(I60:I124)</f>
        <v>2220600</v>
      </c>
      <c r="J125" s="376">
        <f>SUM(J60:J124)</f>
        <v>-3461185</v>
      </c>
    </row>
    <row r="126" spans="1:10" ht="12.75">
      <c r="A126" s="147"/>
      <c r="B126" s="71"/>
      <c r="C126" s="179"/>
      <c r="D126" s="33"/>
      <c r="E126" s="33"/>
      <c r="F126" s="33"/>
      <c r="G126" s="383"/>
      <c r="H126" s="383"/>
      <c r="I126" s="383"/>
      <c r="J126" s="383"/>
    </row>
    <row r="127" spans="1:10" ht="12.75">
      <c r="A127" s="147"/>
      <c r="B127" s="71"/>
      <c r="C127" s="179"/>
      <c r="D127" s="33"/>
      <c r="E127" s="33"/>
      <c r="F127" s="33"/>
      <c r="G127" s="383"/>
      <c r="H127" s="383"/>
      <c r="I127" s="383"/>
      <c r="J127" s="383"/>
    </row>
    <row r="128" spans="1:10" ht="12.75">
      <c r="A128" s="147"/>
      <c r="B128" s="71"/>
      <c r="C128" s="179"/>
      <c r="D128" s="33"/>
      <c r="E128" s="33"/>
      <c r="F128" s="33"/>
      <c r="G128" s="383"/>
      <c r="H128" s="383"/>
      <c r="I128" s="383"/>
      <c r="J128" s="383"/>
    </row>
    <row r="129" spans="1:10" ht="12.75">
      <c r="A129" s="147"/>
      <c r="B129" s="71"/>
      <c r="C129" s="179"/>
      <c r="D129" s="33"/>
      <c r="E129" s="33"/>
      <c r="F129" s="33"/>
      <c r="G129" s="383"/>
      <c r="H129" s="383"/>
      <c r="I129" s="383"/>
      <c r="J129" s="383"/>
    </row>
    <row r="130" spans="1:10" ht="16.5" thickBot="1">
      <c r="A130" s="147"/>
      <c r="B130" s="403" t="s">
        <v>139</v>
      </c>
      <c r="C130" s="224"/>
      <c r="D130" s="225"/>
      <c r="E130" s="225"/>
      <c r="F130" s="225"/>
      <c r="G130" s="404"/>
      <c r="H130" s="404"/>
      <c r="I130" s="404"/>
      <c r="J130" s="404"/>
    </row>
    <row r="131" spans="1:10" ht="12.75">
      <c r="A131" s="206" t="s">
        <v>42</v>
      </c>
      <c r="B131" s="402" t="s">
        <v>126</v>
      </c>
      <c r="C131" s="390">
        <v>9501677</v>
      </c>
      <c r="D131" s="391">
        <v>329616</v>
      </c>
      <c r="E131" s="391"/>
      <c r="F131" s="391" t="s">
        <v>158</v>
      </c>
      <c r="G131" s="392">
        <f>IF(A131="X",C131,0)</f>
        <v>9501677</v>
      </c>
      <c r="H131" s="392"/>
      <c r="I131" s="392">
        <f>SUM(H132)</f>
        <v>3090000</v>
      </c>
      <c r="J131" s="409">
        <f>SUM(I131-G131)</f>
        <v>-6411677</v>
      </c>
    </row>
    <row r="132" spans="1:10" ht="12.75">
      <c r="A132" s="206"/>
      <c r="B132" s="389"/>
      <c r="C132" s="390"/>
      <c r="D132" s="391"/>
      <c r="E132" s="391" t="s">
        <v>173</v>
      </c>
      <c r="F132" s="391"/>
      <c r="G132" s="392"/>
      <c r="H132" s="392">
        <v>3090000</v>
      </c>
      <c r="I132" s="392"/>
      <c r="J132" s="418"/>
    </row>
    <row r="133" spans="1:10" ht="12.75">
      <c r="A133" s="206"/>
      <c r="B133" s="389"/>
      <c r="C133" s="390"/>
      <c r="D133" s="391"/>
      <c r="E133" s="391"/>
      <c r="F133" s="391"/>
      <c r="G133" s="392"/>
      <c r="H133" s="392"/>
      <c r="I133" s="392"/>
      <c r="J133" s="418"/>
    </row>
    <row r="134" spans="1:10" ht="12.75">
      <c r="A134" s="206"/>
      <c r="B134" s="398"/>
      <c r="C134" s="399"/>
      <c r="D134" s="400"/>
      <c r="E134" s="400"/>
      <c r="F134" s="400"/>
      <c r="G134" s="401"/>
      <c r="H134" s="401"/>
      <c r="I134" s="401"/>
      <c r="J134" s="419"/>
    </row>
    <row r="135" spans="1:10" ht="13.5" thickBot="1">
      <c r="A135" s="217"/>
      <c r="B135" s="393"/>
      <c r="C135" s="394"/>
      <c r="D135" s="395"/>
      <c r="E135" s="396" t="s">
        <v>140</v>
      </c>
      <c r="F135" s="395"/>
      <c r="G135" s="397">
        <f>SUM(G131)</f>
        <v>9501677</v>
      </c>
      <c r="H135" s="397">
        <f>SUM(H131:H132)</f>
        <v>3090000</v>
      </c>
      <c r="I135" s="417">
        <f>SUM(I131:I134)</f>
        <v>3090000</v>
      </c>
      <c r="J135" s="420">
        <f>SUM(J131:J134)</f>
        <v>-6411677</v>
      </c>
    </row>
    <row r="136" spans="1:10" s="14" customFormat="1" ht="13.5" thickBot="1">
      <c r="A136" s="147"/>
      <c r="B136" s="71"/>
      <c r="C136" s="179"/>
      <c r="D136" s="33"/>
      <c r="E136" s="33"/>
      <c r="F136" s="33"/>
      <c r="G136" s="383"/>
      <c r="H136" s="383"/>
      <c r="I136" s="383"/>
      <c r="J136" s="383"/>
    </row>
    <row r="137" spans="1:10" ht="13.5" thickBot="1">
      <c r="A137" s="180"/>
      <c r="B137" s="178" t="s">
        <v>43</v>
      </c>
      <c r="C137" s="178">
        <f>SUM(C9:C124)</f>
        <v>17668188</v>
      </c>
      <c r="D137" s="178">
        <f>SUM(D9:D124)</f>
        <v>344568.5</v>
      </c>
      <c r="E137" s="178"/>
      <c r="F137" s="178"/>
      <c r="G137" s="178">
        <f>SUM(G135+G125+G19+G49)</f>
        <v>27169865</v>
      </c>
      <c r="H137" s="405">
        <f>SUM(H135+H125+H19+H49)</f>
        <v>13493800</v>
      </c>
      <c r="I137" s="405">
        <f>SUM(I135+I125+I19+I49)</f>
        <v>13493800</v>
      </c>
      <c r="J137" s="405">
        <f>SUM(J135+J125+J19+J49)</f>
        <v>-13705134</v>
      </c>
    </row>
    <row r="138" spans="7:10" ht="12.75">
      <c r="G138" s="386"/>
      <c r="H138" s="386"/>
      <c r="I138" s="386"/>
      <c r="J138" s="386"/>
    </row>
    <row r="139" spans="7:10" ht="12.75">
      <c r="G139" s="386"/>
      <c r="H139" s="386"/>
      <c r="I139" s="386"/>
      <c r="J139" s="386"/>
    </row>
    <row r="140" spans="7:10" ht="12.75">
      <c r="G140" s="386"/>
      <c r="H140" s="386"/>
      <c r="I140" s="386"/>
      <c r="J140" s="386"/>
    </row>
    <row r="141" spans="7:10" ht="12.75">
      <c r="G141" s="386"/>
      <c r="H141" s="386"/>
      <c r="I141" s="386"/>
      <c r="J141" s="386"/>
    </row>
    <row r="142" spans="7:10" ht="12.75">
      <c r="G142" s="386"/>
      <c r="H142" s="386"/>
      <c r="I142" s="386"/>
      <c r="J142" s="386"/>
    </row>
    <row r="143" spans="7:10" ht="12.75">
      <c r="G143" s="386"/>
      <c r="H143" s="386"/>
      <c r="I143" s="386"/>
      <c r="J143" s="386"/>
    </row>
    <row r="144" spans="7:10" ht="12.75">
      <c r="G144" s="386"/>
      <c r="H144" s="386"/>
      <c r="I144" s="386"/>
      <c r="J144" s="386"/>
    </row>
    <row r="145" spans="7:10" ht="12.75">
      <c r="G145" s="386"/>
      <c r="H145" s="386"/>
      <c r="I145" s="386"/>
      <c r="J145" s="386"/>
    </row>
    <row r="146" spans="7:10" ht="12.75">
      <c r="G146" s="386"/>
      <c r="H146" s="386"/>
      <c r="I146" s="386"/>
      <c r="J146" s="386"/>
    </row>
    <row r="147" spans="7:10" ht="12.75">
      <c r="G147" s="386"/>
      <c r="H147" s="386"/>
      <c r="I147" s="386"/>
      <c r="J147" s="386"/>
    </row>
    <row r="148" spans="7:10" ht="12.75">
      <c r="G148" s="386"/>
      <c r="H148" s="386"/>
      <c r="I148" s="386"/>
      <c r="J148" s="386"/>
    </row>
    <row r="149" spans="7:10" ht="12.75">
      <c r="G149" s="386"/>
      <c r="H149" s="386"/>
      <c r="I149" s="386"/>
      <c r="J149" s="386"/>
    </row>
    <row r="150" spans="7:10" ht="12.75">
      <c r="G150" s="386"/>
      <c r="H150" s="386"/>
      <c r="I150" s="386"/>
      <c r="J150" s="386"/>
    </row>
    <row r="151" spans="7:10" ht="12.75">
      <c r="G151" s="386"/>
      <c r="H151" s="386"/>
      <c r="I151" s="386"/>
      <c r="J151" s="386"/>
    </row>
    <row r="152" spans="7:10" ht="12.75">
      <c r="G152" s="386"/>
      <c r="H152" s="386"/>
      <c r="I152" s="386"/>
      <c r="J152" s="386"/>
    </row>
    <row r="153" spans="7:10" ht="12.75">
      <c r="G153" s="386"/>
      <c r="H153" s="386"/>
      <c r="I153" s="386"/>
      <c r="J153" s="386"/>
    </row>
    <row r="154" spans="7:10" ht="12.75">
      <c r="G154" s="386"/>
      <c r="H154" s="386"/>
      <c r="I154" s="386"/>
      <c r="J154" s="386"/>
    </row>
    <row r="155" spans="7:10" ht="12.75">
      <c r="G155" s="386"/>
      <c r="H155" s="386"/>
      <c r="I155" s="386"/>
      <c r="J155" s="386"/>
    </row>
    <row r="156" spans="7:10" ht="12.75">
      <c r="G156" s="386"/>
      <c r="H156" s="386"/>
      <c r="I156" s="386"/>
      <c r="J156" s="386"/>
    </row>
    <row r="157" spans="7:10" ht="12.75">
      <c r="G157" s="386"/>
      <c r="H157" s="386"/>
      <c r="I157" s="386"/>
      <c r="J157" s="386"/>
    </row>
    <row r="158" spans="7:10" ht="12.75">
      <c r="G158" s="386"/>
      <c r="H158" s="386"/>
      <c r="I158" s="386"/>
      <c r="J158" s="386"/>
    </row>
    <row r="159" spans="7:10" ht="12.75">
      <c r="G159" s="386"/>
      <c r="H159" s="386"/>
      <c r="I159" s="386"/>
      <c r="J159" s="386"/>
    </row>
    <row r="160" spans="7:10" ht="12.75">
      <c r="G160" s="386"/>
      <c r="H160" s="386"/>
      <c r="I160" s="386"/>
      <c r="J160" s="386"/>
    </row>
    <row r="161" spans="7:10" ht="12.75">
      <c r="G161" s="386"/>
      <c r="H161" s="386"/>
      <c r="I161" s="386"/>
      <c r="J161" s="386"/>
    </row>
    <row r="162" spans="7:10" ht="12.75">
      <c r="G162" s="386"/>
      <c r="H162" s="386"/>
      <c r="I162" s="386"/>
      <c r="J162" s="386"/>
    </row>
    <row r="163" spans="7:10" ht="12.75">
      <c r="G163" s="386"/>
      <c r="H163" s="386"/>
      <c r="I163" s="386"/>
      <c r="J163" s="386"/>
    </row>
    <row r="164" spans="7:10" ht="12.75">
      <c r="G164" s="386"/>
      <c r="H164" s="386"/>
      <c r="I164" s="386"/>
      <c r="J164" s="386"/>
    </row>
    <row r="165" spans="7:10" ht="12.75">
      <c r="G165" s="386"/>
      <c r="H165" s="386"/>
      <c r="I165" s="386"/>
      <c r="J165" s="386"/>
    </row>
    <row r="166" spans="7:10" ht="12.75">
      <c r="G166" s="386"/>
      <c r="H166" s="386"/>
      <c r="I166" s="386"/>
      <c r="J166" s="386"/>
    </row>
    <row r="167" spans="7:10" ht="12.75">
      <c r="G167" s="386"/>
      <c r="H167" s="386"/>
      <c r="I167" s="386"/>
      <c r="J167" s="386"/>
    </row>
    <row r="168" spans="7:10" ht="12.75">
      <c r="G168" s="386"/>
      <c r="H168" s="386"/>
      <c r="I168" s="386"/>
      <c r="J168" s="386"/>
    </row>
    <row r="169" spans="7:10" ht="12.75">
      <c r="G169" s="386"/>
      <c r="H169" s="386"/>
      <c r="I169" s="386"/>
      <c r="J169" s="386"/>
    </row>
    <row r="170" spans="7:10" ht="12.75">
      <c r="G170" s="386"/>
      <c r="H170" s="386"/>
      <c r="I170" s="386"/>
      <c r="J170" s="386"/>
    </row>
    <row r="171" spans="7:10" ht="12.75">
      <c r="G171" s="386"/>
      <c r="H171" s="386"/>
      <c r="I171" s="386"/>
      <c r="J171" s="386"/>
    </row>
    <row r="172" spans="7:10" ht="12.75">
      <c r="G172" s="386"/>
      <c r="H172" s="386"/>
      <c r="I172" s="386"/>
      <c r="J172" s="386"/>
    </row>
    <row r="173" spans="7:10" ht="12.75">
      <c r="G173" s="386"/>
      <c r="H173" s="386"/>
      <c r="I173" s="386"/>
      <c r="J173" s="386"/>
    </row>
    <row r="174" spans="7:10" ht="12.75">
      <c r="G174" s="386"/>
      <c r="H174" s="386"/>
      <c r="I174" s="386"/>
      <c r="J174" s="386"/>
    </row>
    <row r="175" spans="7:10" ht="12.75">
      <c r="G175" s="386"/>
      <c r="H175" s="386"/>
      <c r="I175" s="386"/>
      <c r="J175" s="386"/>
    </row>
    <row r="176" spans="7:10" ht="12.75">
      <c r="G176" s="386"/>
      <c r="H176" s="386"/>
      <c r="I176" s="386"/>
      <c r="J176" s="386"/>
    </row>
    <row r="177" spans="7:10" ht="12.75">
      <c r="G177" s="386"/>
      <c r="H177" s="386"/>
      <c r="I177" s="386"/>
      <c r="J177" s="386"/>
    </row>
    <row r="178" spans="7:10" ht="12.75">
      <c r="G178" s="386"/>
      <c r="H178" s="386"/>
      <c r="I178" s="386"/>
      <c r="J178" s="386"/>
    </row>
    <row r="179" spans="7:10" ht="12.75">
      <c r="G179" s="386"/>
      <c r="H179" s="386"/>
      <c r="I179" s="386"/>
      <c r="J179" s="386"/>
    </row>
    <row r="180" spans="7:10" ht="12.75">
      <c r="G180" s="386"/>
      <c r="H180" s="386"/>
      <c r="I180" s="386"/>
      <c r="J180" s="386"/>
    </row>
    <row r="181" spans="7:10" ht="12.75">
      <c r="G181" s="386"/>
      <c r="H181" s="386"/>
      <c r="I181" s="386"/>
      <c r="J181" s="386"/>
    </row>
    <row r="182" spans="7:10" ht="12.75">
      <c r="G182" s="386"/>
      <c r="H182" s="386"/>
      <c r="I182" s="386"/>
      <c r="J182" s="386"/>
    </row>
    <row r="183" spans="7:10" ht="12.75">
      <c r="G183" s="386"/>
      <c r="H183" s="386"/>
      <c r="I183" s="386"/>
      <c r="J183" s="386"/>
    </row>
    <row r="184" spans="7:10" ht="12.75">
      <c r="G184" s="386"/>
      <c r="H184" s="386"/>
      <c r="I184" s="386"/>
      <c r="J184" s="386"/>
    </row>
    <row r="185" spans="7:10" ht="12.75">
      <c r="G185" s="386"/>
      <c r="H185" s="386"/>
      <c r="I185" s="386"/>
      <c r="J185" s="386"/>
    </row>
    <row r="186" spans="7:10" ht="12.75">
      <c r="G186" s="386"/>
      <c r="H186" s="386"/>
      <c r="I186" s="386"/>
      <c r="J186" s="386"/>
    </row>
    <row r="187" spans="7:10" ht="12.75">
      <c r="G187" s="386"/>
      <c r="H187" s="386"/>
      <c r="I187" s="386"/>
      <c r="J187" s="386"/>
    </row>
    <row r="188" spans="7:10" ht="12.75">
      <c r="G188" s="386"/>
      <c r="H188" s="386"/>
      <c r="I188" s="386"/>
      <c r="J188" s="386"/>
    </row>
    <row r="189" spans="7:10" ht="12.75">
      <c r="G189" s="386"/>
      <c r="H189" s="386"/>
      <c r="I189" s="386"/>
      <c r="J189" s="386"/>
    </row>
    <row r="190" spans="7:10" ht="12.75">
      <c r="G190" s="386"/>
      <c r="H190" s="386"/>
      <c r="I190" s="386"/>
      <c r="J190" s="386"/>
    </row>
    <row r="191" spans="7:10" ht="12.75">
      <c r="G191" s="386"/>
      <c r="H191" s="386"/>
      <c r="I191" s="386"/>
      <c r="J191" s="386"/>
    </row>
    <row r="192" spans="7:10" ht="12.75">
      <c r="G192" s="386"/>
      <c r="H192" s="386"/>
      <c r="I192" s="386"/>
      <c r="J192" s="386"/>
    </row>
    <row r="193" spans="7:10" ht="12.75">
      <c r="G193" s="386"/>
      <c r="H193" s="386"/>
      <c r="I193" s="386"/>
      <c r="J193" s="386"/>
    </row>
    <row r="194" spans="7:10" ht="12.75">
      <c r="G194" s="386"/>
      <c r="H194" s="386"/>
      <c r="I194" s="386"/>
      <c r="J194" s="386"/>
    </row>
    <row r="195" spans="7:10" ht="12.75">
      <c r="G195" s="386"/>
      <c r="H195" s="386"/>
      <c r="I195" s="386"/>
      <c r="J195" s="386"/>
    </row>
    <row r="196" spans="7:10" ht="12.75">
      <c r="G196" s="386"/>
      <c r="H196" s="386"/>
      <c r="I196" s="386"/>
      <c r="J196" s="386"/>
    </row>
    <row r="197" spans="7:10" ht="12.75">
      <c r="G197" s="386"/>
      <c r="H197" s="386"/>
      <c r="I197" s="386"/>
      <c r="J197" s="386"/>
    </row>
    <row r="198" spans="7:10" ht="12.75">
      <c r="G198" s="386"/>
      <c r="H198" s="386"/>
      <c r="I198" s="386"/>
      <c r="J198" s="386"/>
    </row>
    <row r="199" spans="7:10" ht="12.75">
      <c r="G199" s="386"/>
      <c r="H199" s="386"/>
      <c r="I199" s="386"/>
      <c r="J199" s="386"/>
    </row>
    <row r="200" spans="7:10" ht="12.75">
      <c r="G200" s="386"/>
      <c r="H200" s="386"/>
      <c r="I200" s="386"/>
      <c r="J200" s="386"/>
    </row>
    <row r="201" spans="7:10" ht="12.75">
      <c r="G201" s="386"/>
      <c r="H201" s="386"/>
      <c r="I201" s="386"/>
      <c r="J201" s="386"/>
    </row>
    <row r="202" spans="7:10" ht="12.75">
      <c r="G202" s="386"/>
      <c r="H202" s="386"/>
      <c r="I202" s="386"/>
      <c r="J202" s="386"/>
    </row>
    <row r="203" spans="7:10" ht="12.75">
      <c r="G203" s="386"/>
      <c r="H203" s="386"/>
      <c r="I203" s="386"/>
      <c r="J203" s="386"/>
    </row>
    <row r="204" spans="7:10" ht="12.75">
      <c r="G204" s="386"/>
      <c r="H204" s="386"/>
      <c r="I204" s="386"/>
      <c r="J204" s="386"/>
    </row>
    <row r="205" spans="7:10" ht="12.75">
      <c r="G205" s="386"/>
      <c r="H205" s="386"/>
      <c r="I205" s="386"/>
      <c r="J205" s="386"/>
    </row>
    <row r="206" spans="7:10" ht="12.75">
      <c r="G206" s="386"/>
      <c r="H206" s="386"/>
      <c r="I206" s="386"/>
      <c r="J206" s="386"/>
    </row>
    <row r="207" spans="7:10" ht="12.75">
      <c r="G207" s="386"/>
      <c r="H207" s="386"/>
      <c r="I207" s="386"/>
      <c r="J207" s="386"/>
    </row>
    <row r="208" spans="7:10" ht="12.75">
      <c r="G208" s="386"/>
      <c r="H208" s="386"/>
      <c r="I208" s="386"/>
      <c r="J208" s="386"/>
    </row>
    <row r="209" spans="7:10" ht="12.75">
      <c r="G209" s="386"/>
      <c r="H209" s="386"/>
      <c r="I209" s="386"/>
      <c r="J209" s="386"/>
    </row>
    <row r="210" spans="7:10" ht="12.75">
      <c r="G210" s="386"/>
      <c r="H210" s="386"/>
      <c r="I210" s="386"/>
      <c r="J210" s="386"/>
    </row>
    <row r="211" spans="7:10" ht="12.75">
      <c r="G211" s="386"/>
      <c r="H211" s="386"/>
      <c r="I211" s="386"/>
      <c r="J211" s="386"/>
    </row>
    <row r="212" spans="7:10" ht="12.75">
      <c r="G212" s="386"/>
      <c r="H212" s="386"/>
      <c r="I212" s="386"/>
      <c r="J212" s="386"/>
    </row>
    <row r="213" spans="7:10" ht="12.75">
      <c r="G213" s="386"/>
      <c r="H213" s="386"/>
      <c r="I213" s="386"/>
      <c r="J213" s="386"/>
    </row>
    <row r="214" spans="7:10" ht="12.75">
      <c r="G214" s="386"/>
      <c r="H214" s="386"/>
      <c r="I214" s="386"/>
      <c r="J214" s="386"/>
    </row>
    <row r="215" spans="7:10" ht="12.75">
      <c r="G215" s="386"/>
      <c r="H215" s="386"/>
      <c r="I215" s="386"/>
      <c r="J215" s="386"/>
    </row>
    <row r="216" spans="7:10" ht="12.75">
      <c r="G216" s="386"/>
      <c r="H216" s="386"/>
      <c r="I216" s="386"/>
      <c r="J216" s="386"/>
    </row>
    <row r="217" spans="7:10" ht="12.75">
      <c r="G217" s="386"/>
      <c r="H217" s="386"/>
      <c r="I217" s="386"/>
      <c r="J217" s="386"/>
    </row>
    <row r="218" spans="7:10" ht="12.75">
      <c r="G218" s="386"/>
      <c r="H218" s="386"/>
      <c r="I218" s="386"/>
      <c r="J218" s="386"/>
    </row>
    <row r="219" spans="7:10" ht="12.75">
      <c r="G219" s="386"/>
      <c r="H219" s="386"/>
      <c r="I219" s="386"/>
      <c r="J219" s="386"/>
    </row>
    <row r="220" spans="7:10" ht="12.75">
      <c r="G220" s="386"/>
      <c r="H220" s="386"/>
      <c r="I220" s="386"/>
      <c r="J220" s="386"/>
    </row>
    <row r="221" spans="7:10" ht="12.75">
      <c r="G221" s="386"/>
      <c r="H221" s="386"/>
      <c r="I221" s="386"/>
      <c r="J221" s="386"/>
    </row>
    <row r="222" spans="7:10" ht="12.75">
      <c r="G222" s="386"/>
      <c r="H222" s="386"/>
      <c r="I222" s="386"/>
      <c r="J222" s="386"/>
    </row>
    <row r="223" spans="7:10" ht="12.75">
      <c r="G223" s="386"/>
      <c r="H223" s="386"/>
      <c r="I223" s="386"/>
      <c r="J223" s="386"/>
    </row>
    <row r="224" spans="7:10" ht="12.75">
      <c r="G224" s="386"/>
      <c r="H224" s="386"/>
      <c r="I224" s="386"/>
      <c r="J224" s="386"/>
    </row>
    <row r="225" spans="7:10" ht="12.75">
      <c r="G225" s="386"/>
      <c r="H225" s="386"/>
      <c r="I225" s="386"/>
      <c r="J225" s="386"/>
    </row>
    <row r="226" spans="7:10" ht="12.75">
      <c r="G226" s="386"/>
      <c r="H226" s="386"/>
      <c r="I226" s="386"/>
      <c r="J226" s="386"/>
    </row>
    <row r="227" spans="7:10" ht="12.75">
      <c r="G227" s="386"/>
      <c r="H227" s="386"/>
      <c r="I227" s="386"/>
      <c r="J227" s="386"/>
    </row>
    <row r="228" spans="7:10" ht="12.75">
      <c r="G228" s="386"/>
      <c r="H228" s="386"/>
      <c r="I228" s="386"/>
      <c r="J228" s="386"/>
    </row>
    <row r="229" spans="7:10" ht="12.75">
      <c r="G229" s="386"/>
      <c r="H229" s="386"/>
      <c r="I229" s="386"/>
      <c r="J229" s="386"/>
    </row>
    <row r="230" spans="7:10" ht="12.75">
      <c r="G230" s="386"/>
      <c r="H230" s="386"/>
      <c r="I230" s="386"/>
      <c r="J230" s="386"/>
    </row>
    <row r="231" spans="7:10" ht="12.75">
      <c r="G231" s="386"/>
      <c r="H231" s="386"/>
      <c r="I231" s="386"/>
      <c r="J231" s="386"/>
    </row>
    <row r="232" spans="7:10" ht="12.75">
      <c r="G232" s="386"/>
      <c r="H232" s="386"/>
      <c r="I232" s="386"/>
      <c r="J232" s="386"/>
    </row>
    <row r="233" spans="7:10" ht="12.75">
      <c r="G233" s="386"/>
      <c r="H233" s="386"/>
      <c r="I233" s="386"/>
      <c r="J233" s="386"/>
    </row>
    <row r="234" spans="7:10" ht="12.75">
      <c r="G234" s="386"/>
      <c r="H234" s="386"/>
      <c r="I234" s="386"/>
      <c r="J234" s="386"/>
    </row>
    <row r="235" spans="7:10" ht="12.75">
      <c r="G235" s="386"/>
      <c r="H235" s="386"/>
      <c r="I235" s="386"/>
      <c r="J235" s="386"/>
    </row>
    <row r="236" spans="7:10" ht="12.75">
      <c r="G236" s="386"/>
      <c r="H236" s="386"/>
      <c r="I236" s="386"/>
      <c r="J236" s="386"/>
    </row>
    <row r="237" spans="7:10" ht="12.75">
      <c r="G237" s="386"/>
      <c r="H237" s="386"/>
      <c r="I237" s="386"/>
      <c r="J237" s="386"/>
    </row>
    <row r="238" spans="7:10" ht="12.75">
      <c r="G238" s="386"/>
      <c r="H238" s="386"/>
      <c r="I238" s="386"/>
      <c r="J238" s="386"/>
    </row>
    <row r="239" spans="7:10" ht="12.75">
      <c r="G239" s="386"/>
      <c r="H239" s="386"/>
      <c r="I239" s="386"/>
      <c r="J239" s="386"/>
    </row>
    <row r="240" spans="7:10" ht="12.75">
      <c r="G240" s="386"/>
      <c r="H240" s="386"/>
      <c r="I240" s="386"/>
      <c r="J240" s="386"/>
    </row>
    <row r="241" spans="7:10" ht="12.75">
      <c r="G241" s="386"/>
      <c r="H241" s="386"/>
      <c r="I241" s="386"/>
      <c r="J241" s="386"/>
    </row>
    <row r="242" spans="7:10" ht="12.75">
      <c r="G242" s="386"/>
      <c r="H242" s="386"/>
      <c r="I242" s="386"/>
      <c r="J242" s="386"/>
    </row>
    <row r="243" spans="7:10" ht="12.75">
      <c r="G243" s="386"/>
      <c r="H243" s="386"/>
      <c r="I243" s="386"/>
      <c r="J243" s="386"/>
    </row>
    <row r="244" spans="7:10" ht="12.75">
      <c r="G244" s="386"/>
      <c r="H244" s="386"/>
      <c r="I244" s="386"/>
      <c r="J244" s="386"/>
    </row>
    <row r="245" spans="7:10" ht="12.75">
      <c r="G245" s="386"/>
      <c r="H245" s="386"/>
      <c r="I245" s="386"/>
      <c r="J245" s="386"/>
    </row>
    <row r="246" spans="7:10" ht="12.75">
      <c r="G246" s="386"/>
      <c r="H246" s="386"/>
      <c r="I246" s="386"/>
      <c r="J246" s="386"/>
    </row>
    <row r="247" spans="7:10" ht="12.75">
      <c r="G247" s="386"/>
      <c r="H247" s="386"/>
      <c r="I247" s="386"/>
      <c r="J247" s="386"/>
    </row>
    <row r="248" spans="7:10" ht="12.75">
      <c r="G248" s="386"/>
      <c r="H248" s="386"/>
      <c r="I248" s="386"/>
      <c r="J248" s="386"/>
    </row>
    <row r="249" spans="7:10" ht="12.75">
      <c r="G249" s="386"/>
      <c r="H249" s="386"/>
      <c r="I249" s="386"/>
      <c r="J249" s="386"/>
    </row>
    <row r="250" spans="7:10" ht="12.75">
      <c r="G250" s="386"/>
      <c r="H250" s="386"/>
      <c r="I250" s="386"/>
      <c r="J250" s="386"/>
    </row>
    <row r="251" spans="7:10" ht="12.75">
      <c r="G251" s="386"/>
      <c r="H251" s="386"/>
      <c r="I251" s="386"/>
      <c r="J251" s="386"/>
    </row>
    <row r="252" spans="7:10" ht="12.75">
      <c r="G252" s="386"/>
      <c r="H252" s="386"/>
      <c r="I252" s="386"/>
      <c r="J252" s="386"/>
    </row>
    <row r="253" spans="7:10" ht="12.75">
      <c r="G253" s="386"/>
      <c r="H253" s="386"/>
      <c r="I253" s="386"/>
      <c r="J253" s="386"/>
    </row>
    <row r="254" spans="7:10" ht="12.75">
      <c r="G254" s="386"/>
      <c r="H254" s="386"/>
      <c r="I254" s="386"/>
      <c r="J254" s="386"/>
    </row>
    <row r="255" spans="7:10" ht="12.75">
      <c r="G255" s="386"/>
      <c r="H255" s="386"/>
      <c r="I255" s="386"/>
      <c r="J255" s="386"/>
    </row>
    <row r="256" spans="7:10" ht="12.75">
      <c r="G256" s="386"/>
      <c r="H256" s="386"/>
      <c r="I256" s="386"/>
      <c r="J256" s="386"/>
    </row>
    <row r="257" spans="7:10" ht="12.75">
      <c r="G257" s="386"/>
      <c r="H257" s="386"/>
      <c r="I257" s="386"/>
      <c r="J257" s="386"/>
    </row>
    <row r="258" spans="7:10" ht="12.75">
      <c r="G258" s="386"/>
      <c r="H258" s="386"/>
      <c r="I258" s="386"/>
      <c r="J258" s="386"/>
    </row>
    <row r="259" spans="7:10" ht="12.75">
      <c r="G259" s="386"/>
      <c r="H259" s="386"/>
      <c r="I259" s="386"/>
      <c r="J259" s="386"/>
    </row>
    <row r="260" spans="7:10" ht="12.75">
      <c r="G260" s="386"/>
      <c r="H260" s="386"/>
      <c r="I260" s="386"/>
      <c r="J260" s="386"/>
    </row>
    <row r="261" spans="7:10" ht="12.75">
      <c r="G261" s="386"/>
      <c r="H261" s="386"/>
      <c r="I261" s="386"/>
      <c r="J261" s="386"/>
    </row>
    <row r="262" spans="7:10" ht="12.75">
      <c r="G262" s="386"/>
      <c r="H262" s="386"/>
      <c r="I262" s="386"/>
      <c r="J262" s="386"/>
    </row>
    <row r="263" spans="7:10" ht="12.75">
      <c r="G263" s="386"/>
      <c r="H263" s="386"/>
      <c r="I263" s="386"/>
      <c r="J263" s="386"/>
    </row>
    <row r="264" spans="7:10" ht="12.75">
      <c r="G264" s="386"/>
      <c r="H264" s="386"/>
      <c r="I264" s="386"/>
      <c r="J264" s="386"/>
    </row>
    <row r="265" spans="7:10" ht="12.75">
      <c r="G265" s="386"/>
      <c r="H265" s="386"/>
      <c r="I265" s="386"/>
      <c r="J265" s="386"/>
    </row>
    <row r="266" spans="7:10" ht="12.75">
      <c r="G266" s="386"/>
      <c r="H266" s="386"/>
      <c r="I266" s="386"/>
      <c r="J266" s="386"/>
    </row>
    <row r="267" spans="7:10" ht="12.75">
      <c r="G267" s="386"/>
      <c r="H267" s="386"/>
      <c r="I267" s="386"/>
      <c r="J267" s="386"/>
    </row>
    <row r="268" spans="7:10" ht="12.75">
      <c r="G268" s="386"/>
      <c r="H268" s="386"/>
      <c r="I268" s="386"/>
      <c r="J268" s="386"/>
    </row>
    <row r="269" spans="7:10" ht="12.75">
      <c r="G269" s="386"/>
      <c r="H269" s="386"/>
      <c r="I269" s="386"/>
      <c r="J269" s="386"/>
    </row>
    <row r="270" spans="7:10" ht="12.75">
      <c r="G270" s="386"/>
      <c r="H270" s="386"/>
      <c r="I270" s="386"/>
      <c r="J270" s="386"/>
    </row>
    <row r="271" spans="7:10" ht="12.75">
      <c r="G271" s="386"/>
      <c r="H271" s="386"/>
      <c r="I271" s="386"/>
      <c r="J271" s="386"/>
    </row>
    <row r="272" spans="7:10" ht="12.75">
      <c r="G272" s="386"/>
      <c r="H272" s="386"/>
      <c r="I272" s="386"/>
      <c r="J272" s="386"/>
    </row>
    <row r="273" spans="7:10" ht="12.75">
      <c r="G273" s="386"/>
      <c r="H273" s="386"/>
      <c r="I273" s="386"/>
      <c r="J273" s="386"/>
    </row>
    <row r="274" spans="7:10" ht="12.75">
      <c r="G274" s="386"/>
      <c r="H274" s="386"/>
      <c r="I274" s="386"/>
      <c r="J274" s="386"/>
    </row>
    <row r="275" spans="7:10" ht="12.75">
      <c r="G275" s="386"/>
      <c r="H275" s="386"/>
      <c r="I275" s="386"/>
      <c r="J275" s="386"/>
    </row>
    <row r="276" spans="7:10" ht="12.75">
      <c r="G276" s="386"/>
      <c r="H276" s="386"/>
      <c r="I276" s="386"/>
      <c r="J276" s="386"/>
    </row>
    <row r="277" spans="7:10" ht="12.75">
      <c r="G277" s="386"/>
      <c r="H277" s="386"/>
      <c r="I277" s="386"/>
      <c r="J277" s="386"/>
    </row>
    <row r="278" spans="7:10" ht="12.75">
      <c r="G278" s="386"/>
      <c r="H278" s="386"/>
      <c r="I278" s="386"/>
      <c r="J278" s="386"/>
    </row>
    <row r="279" spans="7:10" ht="12.75">
      <c r="G279" s="386"/>
      <c r="H279" s="386"/>
      <c r="I279" s="386"/>
      <c r="J279" s="386"/>
    </row>
    <row r="280" spans="7:10" ht="12.75">
      <c r="G280" s="386"/>
      <c r="H280" s="386"/>
      <c r="I280" s="386"/>
      <c r="J280" s="386"/>
    </row>
    <row r="281" spans="7:10" ht="12.75">
      <c r="G281" s="386"/>
      <c r="H281" s="386"/>
      <c r="I281" s="386"/>
      <c r="J281" s="386"/>
    </row>
    <row r="282" spans="7:10" ht="12.75">
      <c r="G282" s="386"/>
      <c r="H282" s="386"/>
      <c r="I282" s="386"/>
      <c r="J282" s="386"/>
    </row>
    <row r="283" spans="7:10" ht="12.75">
      <c r="G283" s="386"/>
      <c r="H283" s="386"/>
      <c r="I283" s="386"/>
      <c r="J283" s="386"/>
    </row>
    <row r="284" spans="7:10" ht="12.75">
      <c r="G284" s="386"/>
      <c r="H284" s="386"/>
      <c r="I284" s="386"/>
      <c r="J284" s="386"/>
    </row>
    <row r="285" spans="7:10" ht="12.75">
      <c r="G285" s="386"/>
      <c r="H285" s="386"/>
      <c r="I285" s="386"/>
      <c r="J285" s="386"/>
    </row>
    <row r="286" spans="7:10" ht="12.75">
      <c r="G286" s="386"/>
      <c r="H286" s="386"/>
      <c r="I286" s="386"/>
      <c r="J286" s="386"/>
    </row>
    <row r="287" spans="7:10" ht="12.75">
      <c r="G287" s="386"/>
      <c r="H287" s="386"/>
      <c r="I287" s="386"/>
      <c r="J287" s="386"/>
    </row>
    <row r="288" spans="7:10" ht="12.75">
      <c r="G288" s="386"/>
      <c r="H288" s="386"/>
      <c r="I288" s="386"/>
      <c r="J288" s="386"/>
    </row>
    <row r="289" spans="7:10" ht="12.75">
      <c r="G289" s="386"/>
      <c r="H289" s="386"/>
      <c r="I289" s="386"/>
      <c r="J289" s="386"/>
    </row>
    <row r="290" spans="7:10" ht="12.75">
      <c r="G290" s="386"/>
      <c r="H290" s="386"/>
      <c r="I290" s="386"/>
      <c r="J290" s="386"/>
    </row>
    <row r="291" spans="7:10" ht="12.75">
      <c r="G291" s="386"/>
      <c r="H291" s="386"/>
      <c r="I291" s="386"/>
      <c r="J291" s="386"/>
    </row>
    <row r="292" spans="7:10" ht="12.75">
      <c r="G292" s="386"/>
      <c r="H292" s="386"/>
      <c r="I292" s="386"/>
      <c r="J292" s="386"/>
    </row>
    <row r="293" spans="7:10" ht="12.75">
      <c r="G293" s="386"/>
      <c r="H293" s="386"/>
      <c r="I293" s="386"/>
      <c r="J293" s="386"/>
    </row>
    <row r="294" spans="7:10" ht="12.75">
      <c r="G294" s="386"/>
      <c r="H294" s="386"/>
      <c r="I294" s="386"/>
      <c r="J294" s="386"/>
    </row>
    <row r="295" spans="7:10" ht="12.75">
      <c r="G295" s="386"/>
      <c r="H295" s="386"/>
      <c r="I295" s="386"/>
      <c r="J295" s="386"/>
    </row>
    <row r="296" spans="7:10" ht="12.75">
      <c r="G296" s="386"/>
      <c r="H296" s="386"/>
      <c r="I296" s="386"/>
      <c r="J296" s="386"/>
    </row>
    <row r="297" spans="7:10" ht="12.75">
      <c r="G297" s="386"/>
      <c r="H297" s="386"/>
      <c r="I297" s="386"/>
      <c r="J297" s="386"/>
    </row>
    <row r="298" spans="7:10" ht="12.75">
      <c r="G298" s="386"/>
      <c r="H298" s="386"/>
      <c r="I298" s="386"/>
      <c r="J298" s="386"/>
    </row>
    <row r="299" spans="7:10" ht="12.75">
      <c r="G299" s="386"/>
      <c r="H299" s="386"/>
      <c r="I299" s="386"/>
      <c r="J299" s="386"/>
    </row>
    <row r="300" spans="7:10" ht="12.75">
      <c r="G300" s="386"/>
      <c r="H300" s="386"/>
      <c r="I300" s="386"/>
      <c r="J300" s="386"/>
    </row>
    <row r="301" spans="7:10" ht="12.75">
      <c r="G301" s="386"/>
      <c r="H301" s="386"/>
      <c r="I301" s="386"/>
      <c r="J301" s="386"/>
    </row>
    <row r="302" spans="7:10" ht="12.75">
      <c r="G302" s="386"/>
      <c r="H302" s="386"/>
      <c r="I302" s="386"/>
      <c r="J302" s="386"/>
    </row>
    <row r="303" spans="7:10" ht="12.75">
      <c r="G303" s="386"/>
      <c r="H303" s="386"/>
      <c r="I303" s="386"/>
      <c r="J303" s="386"/>
    </row>
    <row r="304" spans="7:10" ht="12.75">
      <c r="G304" s="386"/>
      <c r="H304" s="386"/>
      <c r="I304" s="386"/>
      <c r="J304" s="386"/>
    </row>
    <row r="305" spans="7:10" ht="12.75">
      <c r="G305" s="386"/>
      <c r="H305" s="386"/>
      <c r="I305" s="386"/>
      <c r="J305" s="386"/>
    </row>
    <row r="306" spans="7:10" ht="12.75">
      <c r="G306" s="386"/>
      <c r="H306" s="386"/>
      <c r="I306" s="386"/>
      <c r="J306" s="386"/>
    </row>
    <row r="307" spans="7:10" ht="12.75">
      <c r="G307" s="386"/>
      <c r="H307" s="386"/>
      <c r="I307" s="386"/>
      <c r="J307" s="386"/>
    </row>
    <row r="308" spans="7:10" ht="12.75">
      <c r="G308" s="386"/>
      <c r="H308" s="386"/>
      <c r="I308" s="386"/>
      <c r="J308" s="386"/>
    </row>
    <row r="309" spans="7:10" ht="12.75">
      <c r="G309" s="386"/>
      <c r="H309" s="386"/>
      <c r="I309" s="386"/>
      <c r="J309" s="386"/>
    </row>
    <row r="310" spans="7:10" ht="12.75">
      <c r="G310" s="386"/>
      <c r="H310" s="386"/>
      <c r="I310" s="386"/>
      <c r="J310" s="386"/>
    </row>
    <row r="311" spans="7:10" ht="12.75">
      <c r="G311" s="386"/>
      <c r="H311" s="386"/>
      <c r="I311" s="386"/>
      <c r="J311" s="386"/>
    </row>
    <row r="312" spans="7:10" ht="12.75">
      <c r="G312" s="386"/>
      <c r="H312" s="386"/>
      <c r="I312" s="386"/>
      <c r="J312" s="386"/>
    </row>
    <row r="313" spans="7:10" ht="12.75">
      <c r="G313" s="386"/>
      <c r="H313" s="386"/>
      <c r="I313" s="386"/>
      <c r="J313" s="386"/>
    </row>
    <row r="314" spans="7:10" ht="12.75">
      <c r="G314" s="386"/>
      <c r="H314" s="386"/>
      <c r="I314" s="386"/>
      <c r="J314" s="386"/>
    </row>
    <row r="315" spans="7:10" ht="12.75">
      <c r="G315" s="386"/>
      <c r="H315" s="386"/>
      <c r="I315" s="386"/>
      <c r="J315" s="386"/>
    </row>
    <row r="316" spans="7:10" ht="12.75">
      <c r="G316" s="386"/>
      <c r="H316" s="386"/>
      <c r="I316" s="386"/>
      <c r="J316" s="386"/>
    </row>
    <row r="317" spans="7:10" ht="12.75">
      <c r="G317" s="386"/>
      <c r="H317" s="386"/>
      <c r="I317" s="386"/>
      <c r="J317" s="386"/>
    </row>
    <row r="318" spans="7:10" ht="12.75">
      <c r="G318" s="386"/>
      <c r="H318" s="386"/>
      <c r="I318" s="386"/>
      <c r="J318" s="386"/>
    </row>
    <row r="319" spans="7:10" ht="12.75">
      <c r="G319" s="386"/>
      <c r="H319" s="386"/>
      <c r="I319" s="386"/>
      <c r="J319" s="386"/>
    </row>
    <row r="320" spans="7:10" ht="12.75">
      <c r="G320" s="386"/>
      <c r="H320" s="386"/>
      <c r="I320" s="386"/>
      <c r="J320" s="386"/>
    </row>
    <row r="321" spans="7:10" ht="12.75">
      <c r="G321" s="386"/>
      <c r="H321" s="386"/>
      <c r="I321" s="386"/>
      <c r="J321" s="386"/>
    </row>
    <row r="322" spans="7:10" ht="12.75">
      <c r="G322" s="386"/>
      <c r="H322" s="386"/>
      <c r="I322" s="386"/>
      <c r="J322" s="386"/>
    </row>
    <row r="323" spans="7:10" ht="12.75">
      <c r="G323" s="386"/>
      <c r="H323" s="386"/>
      <c r="I323" s="386"/>
      <c r="J323" s="386"/>
    </row>
    <row r="324" spans="7:10" ht="12.75">
      <c r="G324" s="386"/>
      <c r="H324" s="386"/>
      <c r="I324" s="386"/>
      <c r="J324" s="386"/>
    </row>
    <row r="325" spans="7:10" ht="12.75">
      <c r="G325" s="386"/>
      <c r="H325" s="386"/>
      <c r="I325" s="386"/>
      <c r="J325" s="386"/>
    </row>
    <row r="326" spans="7:10" ht="12.75">
      <c r="G326" s="386"/>
      <c r="H326" s="386"/>
      <c r="I326" s="386"/>
      <c r="J326" s="386"/>
    </row>
    <row r="327" spans="7:10" ht="12.75">
      <c r="G327" s="386"/>
      <c r="H327" s="386"/>
      <c r="I327" s="386"/>
      <c r="J327" s="386"/>
    </row>
    <row r="328" spans="7:10" ht="12.75">
      <c r="G328" s="386"/>
      <c r="H328" s="386"/>
      <c r="I328" s="386"/>
      <c r="J328" s="386"/>
    </row>
    <row r="329" spans="7:10" ht="12.75">
      <c r="G329" s="386"/>
      <c r="H329" s="386"/>
      <c r="I329" s="386"/>
      <c r="J329" s="386"/>
    </row>
    <row r="330" spans="7:10" ht="12.75">
      <c r="G330" s="386"/>
      <c r="H330" s="386"/>
      <c r="I330" s="386"/>
      <c r="J330" s="386"/>
    </row>
    <row r="331" spans="7:10" ht="12.75">
      <c r="G331" s="386"/>
      <c r="H331" s="386"/>
      <c r="I331" s="386"/>
      <c r="J331" s="386"/>
    </row>
    <row r="332" spans="7:10" ht="12.75">
      <c r="G332" s="386"/>
      <c r="H332" s="386"/>
      <c r="I332" s="386"/>
      <c r="J332" s="386"/>
    </row>
    <row r="333" spans="7:10" ht="12.75">
      <c r="G333" s="386"/>
      <c r="H333" s="386"/>
      <c r="I333" s="386"/>
      <c r="J333" s="386"/>
    </row>
    <row r="334" spans="7:10" ht="12.75">
      <c r="G334" s="386"/>
      <c r="H334" s="386"/>
      <c r="I334" s="386"/>
      <c r="J334" s="386"/>
    </row>
    <row r="335" spans="7:10" ht="12.75">
      <c r="G335" s="386"/>
      <c r="H335" s="386"/>
      <c r="I335" s="386"/>
      <c r="J335" s="386"/>
    </row>
    <row r="336" spans="7:10" ht="12.75">
      <c r="G336" s="386"/>
      <c r="H336" s="386"/>
      <c r="I336" s="386"/>
      <c r="J336" s="386"/>
    </row>
    <row r="337" spans="7:10" ht="12.75">
      <c r="G337" s="386"/>
      <c r="H337" s="386"/>
      <c r="I337" s="386"/>
      <c r="J337" s="386"/>
    </row>
    <row r="338" spans="7:10" ht="12.75">
      <c r="G338" s="386"/>
      <c r="H338" s="386"/>
      <c r="I338" s="386"/>
      <c r="J338" s="386"/>
    </row>
    <row r="339" spans="7:10" ht="12.75">
      <c r="G339" s="386"/>
      <c r="H339" s="386"/>
      <c r="I339" s="386"/>
      <c r="J339" s="386"/>
    </row>
    <row r="340" spans="7:10" ht="12.75">
      <c r="G340" s="386"/>
      <c r="H340" s="386"/>
      <c r="I340" s="386"/>
      <c r="J340" s="386"/>
    </row>
    <row r="341" spans="7:10" ht="12.75">
      <c r="G341" s="386"/>
      <c r="H341" s="386"/>
      <c r="I341" s="386"/>
      <c r="J341" s="386"/>
    </row>
    <row r="342" spans="7:10" ht="12.75">
      <c r="G342" s="386"/>
      <c r="H342" s="386"/>
      <c r="I342" s="386"/>
      <c r="J342" s="386"/>
    </row>
    <row r="343" spans="7:10" ht="12.75">
      <c r="G343" s="386"/>
      <c r="H343" s="386"/>
      <c r="I343" s="386"/>
      <c r="J343" s="386"/>
    </row>
    <row r="344" spans="7:10" ht="12.75">
      <c r="G344" s="386"/>
      <c r="H344" s="386"/>
      <c r="I344" s="386"/>
      <c r="J344" s="386"/>
    </row>
    <row r="345" spans="7:10" ht="12.75">
      <c r="G345" s="386"/>
      <c r="H345" s="386"/>
      <c r="I345" s="386"/>
      <c r="J345" s="386"/>
    </row>
    <row r="346" spans="7:10" ht="12.75">
      <c r="G346" s="386"/>
      <c r="H346" s="386"/>
      <c r="I346" s="386"/>
      <c r="J346" s="386"/>
    </row>
    <row r="347" spans="7:10" ht="12.75">
      <c r="G347" s="386"/>
      <c r="H347" s="386"/>
      <c r="I347" s="386"/>
      <c r="J347" s="386"/>
    </row>
    <row r="348" spans="7:10" ht="12.75">
      <c r="G348" s="386"/>
      <c r="H348" s="386"/>
      <c r="I348" s="386"/>
      <c r="J348" s="386"/>
    </row>
    <row r="349" spans="7:10" ht="12.75">
      <c r="G349" s="386"/>
      <c r="H349" s="386"/>
      <c r="I349" s="386"/>
      <c r="J349" s="386"/>
    </row>
    <row r="350" spans="7:10" ht="12.75">
      <c r="G350" s="386"/>
      <c r="H350" s="386"/>
      <c r="I350" s="386"/>
      <c r="J350" s="386"/>
    </row>
    <row r="351" spans="7:10" ht="12.75">
      <c r="G351" s="386"/>
      <c r="H351" s="386"/>
      <c r="I351" s="386"/>
      <c r="J351" s="386"/>
    </row>
    <row r="352" spans="7:10" ht="12.75">
      <c r="G352" s="386"/>
      <c r="H352" s="386"/>
      <c r="I352" s="386"/>
      <c r="J352" s="386"/>
    </row>
    <row r="353" spans="7:10" ht="12.75">
      <c r="G353" s="386"/>
      <c r="H353" s="386"/>
      <c r="I353" s="386"/>
      <c r="J353" s="386"/>
    </row>
    <row r="354" spans="7:10" ht="12.75">
      <c r="G354" s="386"/>
      <c r="H354" s="386"/>
      <c r="I354" s="386"/>
      <c r="J354" s="386"/>
    </row>
    <row r="355" spans="7:10" ht="12.75">
      <c r="G355" s="386"/>
      <c r="H355" s="386"/>
      <c r="I355" s="386"/>
      <c r="J355" s="386"/>
    </row>
    <row r="356" spans="7:10" ht="12.75">
      <c r="G356" s="386"/>
      <c r="H356" s="386"/>
      <c r="I356" s="386"/>
      <c r="J356" s="386"/>
    </row>
    <row r="357" spans="7:10" ht="12.75">
      <c r="G357" s="386"/>
      <c r="H357" s="386"/>
      <c r="I357" s="386"/>
      <c r="J357" s="386"/>
    </row>
    <row r="358" spans="7:10" ht="12.75">
      <c r="G358" s="386"/>
      <c r="H358" s="386"/>
      <c r="I358" s="386"/>
      <c r="J358" s="386"/>
    </row>
    <row r="359" spans="7:10" ht="12.75">
      <c r="G359" s="386"/>
      <c r="H359" s="386"/>
      <c r="I359" s="386"/>
      <c r="J359" s="386"/>
    </row>
    <row r="360" spans="7:10" ht="12.75">
      <c r="G360" s="386"/>
      <c r="H360" s="386"/>
      <c r="I360" s="386"/>
      <c r="J360" s="386"/>
    </row>
    <row r="361" spans="7:10" ht="12.75">
      <c r="G361" s="386"/>
      <c r="H361" s="386"/>
      <c r="I361" s="386"/>
      <c r="J361" s="386"/>
    </row>
    <row r="362" spans="7:10" ht="12.75">
      <c r="G362" s="386"/>
      <c r="H362" s="386"/>
      <c r="I362" s="386"/>
      <c r="J362" s="386"/>
    </row>
    <row r="363" spans="7:10" ht="12.75">
      <c r="G363" s="386"/>
      <c r="H363" s="386"/>
      <c r="I363" s="386"/>
      <c r="J363" s="386"/>
    </row>
    <row r="364" spans="7:10" ht="12.75">
      <c r="G364" s="386"/>
      <c r="H364" s="386"/>
      <c r="I364" s="386"/>
      <c r="J364" s="386"/>
    </row>
    <row r="365" spans="7:10" ht="12.75">
      <c r="G365" s="386"/>
      <c r="H365" s="386"/>
      <c r="I365" s="386"/>
      <c r="J365" s="386"/>
    </row>
    <row r="366" spans="7:10" ht="12.75">
      <c r="G366" s="386"/>
      <c r="H366" s="386"/>
      <c r="I366" s="386"/>
      <c r="J366" s="386"/>
    </row>
    <row r="367" spans="7:10" ht="12.75">
      <c r="G367" s="386"/>
      <c r="H367" s="386"/>
      <c r="I367" s="386"/>
      <c r="J367" s="386"/>
    </row>
    <row r="368" spans="7:10" ht="12.75">
      <c r="G368" s="386"/>
      <c r="H368" s="386"/>
      <c r="I368" s="386"/>
      <c r="J368" s="386"/>
    </row>
    <row r="369" spans="7:10" ht="12.75">
      <c r="G369" s="386"/>
      <c r="H369" s="386"/>
      <c r="I369" s="386"/>
      <c r="J369" s="386"/>
    </row>
    <row r="370" spans="7:10" ht="12.75">
      <c r="G370" s="386"/>
      <c r="H370" s="386"/>
      <c r="I370" s="386"/>
      <c r="J370" s="386"/>
    </row>
    <row r="371" spans="7:10" ht="12.75">
      <c r="G371" s="386"/>
      <c r="H371" s="386"/>
      <c r="I371" s="386"/>
      <c r="J371" s="386"/>
    </row>
    <row r="372" spans="7:10" ht="12.75">
      <c r="G372" s="386"/>
      <c r="H372" s="386"/>
      <c r="I372" s="386"/>
      <c r="J372" s="386"/>
    </row>
    <row r="373" spans="7:10" ht="12.75">
      <c r="G373" s="386"/>
      <c r="H373" s="386"/>
      <c r="I373" s="386"/>
      <c r="J373" s="386"/>
    </row>
    <row r="374" spans="7:10" ht="12.75">
      <c r="G374" s="386"/>
      <c r="H374" s="386"/>
      <c r="I374" s="386"/>
      <c r="J374" s="386"/>
    </row>
    <row r="375" spans="7:10" ht="12.75">
      <c r="G375" s="386"/>
      <c r="H375" s="386"/>
      <c r="I375" s="386"/>
      <c r="J375" s="386"/>
    </row>
    <row r="376" spans="7:10" ht="12.75">
      <c r="G376" s="386"/>
      <c r="H376" s="386"/>
      <c r="I376" s="386"/>
      <c r="J376" s="386"/>
    </row>
    <row r="377" spans="7:10" ht="12.75">
      <c r="G377" s="386"/>
      <c r="H377" s="386"/>
      <c r="I377" s="386"/>
      <c r="J377" s="386"/>
    </row>
    <row r="378" spans="7:10" ht="12.75">
      <c r="G378" s="386"/>
      <c r="H378" s="386"/>
      <c r="I378" s="386"/>
      <c r="J378" s="386"/>
    </row>
    <row r="379" spans="7:10" ht="12.75">
      <c r="G379" s="386"/>
      <c r="H379" s="386"/>
      <c r="I379" s="386"/>
      <c r="J379" s="386"/>
    </row>
    <row r="380" spans="7:10" ht="12.75">
      <c r="G380" s="386"/>
      <c r="H380" s="386"/>
      <c r="I380" s="386"/>
      <c r="J380" s="386"/>
    </row>
    <row r="381" spans="7:10" ht="12.75">
      <c r="G381" s="386"/>
      <c r="H381" s="386"/>
      <c r="I381" s="386"/>
      <c r="J381" s="386"/>
    </row>
    <row r="382" spans="7:10" ht="12.75">
      <c r="G382" s="386"/>
      <c r="H382" s="386"/>
      <c r="I382" s="386"/>
      <c r="J382" s="386"/>
    </row>
    <row r="383" spans="7:10" ht="12.75">
      <c r="G383" s="386"/>
      <c r="H383" s="386"/>
      <c r="I383" s="386"/>
      <c r="J383" s="386"/>
    </row>
    <row r="384" spans="7:10" ht="12.75">
      <c r="G384" s="386"/>
      <c r="H384" s="386"/>
      <c r="I384" s="386"/>
      <c r="J384" s="386"/>
    </row>
    <row r="385" spans="7:10" ht="12.75">
      <c r="G385" s="386"/>
      <c r="H385" s="386"/>
      <c r="I385" s="386"/>
      <c r="J385" s="386"/>
    </row>
    <row r="386" spans="7:10" ht="12.75">
      <c r="G386" s="386"/>
      <c r="H386" s="386"/>
      <c r="I386" s="386"/>
      <c r="J386" s="386"/>
    </row>
    <row r="387" spans="7:10" ht="12.75">
      <c r="G387" s="386"/>
      <c r="H387" s="386"/>
      <c r="I387" s="386"/>
      <c r="J387" s="386"/>
    </row>
    <row r="388" spans="7:10" ht="12.75">
      <c r="G388" s="386"/>
      <c r="H388" s="386"/>
      <c r="I388" s="386"/>
      <c r="J388" s="386"/>
    </row>
    <row r="389" spans="7:10" ht="12.75">
      <c r="G389" s="386"/>
      <c r="H389" s="386"/>
      <c r="I389" s="386"/>
      <c r="J389" s="386"/>
    </row>
    <row r="390" spans="7:10" ht="12.75">
      <c r="G390" s="386"/>
      <c r="H390" s="386"/>
      <c r="I390" s="386"/>
      <c r="J390" s="386"/>
    </row>
    <row r="391" spans="7:10" ht="12.75">
      <c r="G391" s="386"/>
      <c r="H391" s="386"/>
      <c r="I391" s="386"/>
      <c r="J391" s="386"/>
    </row>
    <row r="392" spans="7:10" ht="12.75">
      <c r="G392" s="386"/>
      <c r="H392" s="386"/>
      <c r="I392" s="386"/>
      <c r="J392" s="386"/>
    </row>
    <row r="393" spans="7:10" ht="12.75">
      <c r="G393" s="386"/>
      <c r="H393" s="386"/>
      <c r="I393" s="386"/>
      <c r="J393" s="386"/>
    </row>
    <row r="394" spans="7:10" ht="12.75">
      <c r="G394" s="386"/>
      <c r="H394" s="386"/>
      <c r="I394" s="386"/>
      <c r="J394" s="386"/>
    </row>
    <row r="395" spans="7:10" ht="12.75">
      <c r="G395" s="386"/>
      <c r="H395" s="386"/>
      <c r="I395" s="386"/>
      <c r="J395" s="386"/>
    </row>
    <row r="396" spans="7:10" ht="12.75">
      <c r="G396" s="386"/>
      <c r="H396" s="386"/>
      <c r="I396" s="386"/>
      <c r="J396" s="386"/>
    </row>
    <row r="397" spans="7:10" ht="12.75">
      <c r="G397" s="386"/>
      <c r="H397" s="386"/>
      <c r="I397" s="386"/>
      <c r="J397" s="386"/>
    </row>
    <row r="398" spans="7:10" ht="12.75">
      <c r="G398" s="386"/>
      <c r="H398" s="386"/>
      <c r="I398" s="386"/>
      <c r="J398" s="386"/>
    </row>
    <row r="399" spans="7:10" ht="12.75">
      <c r="G399" s="386"/>
      <c r="H399" s="386"/>
      <c r="I399" s="386"/>
      <c r="J399" s="386"/>
    </row>
    <row r="400" spans="7:10" ht="12.75">
      <c r="G400" s="386"/>
      <c r="H400" s="386"/>
      <c r="I400" s="386"/>
      <c r="J400" s="386"/>
    </row>
    <row r="401" spans="7:10" ht="12.75">
      <c r="G401" s="386"/>
      <c r="H401" s="386"/>
      <c r="I401" s="386"/>
      <c r="J401" s="386"/>
    </row>
    <row r="402" spans="7:10" ht="12.75">
      <c r="G402" s="386"/>
      <c r="H402" s="386"/>
      <c r="I402" s="386"/>
      <c r="J402" s="386"/>
    </row>
    <row r="403" spans="7:10" ht="12.75">
      <c r="G403" s="386"/>
      <c r="H403" s="386"/>
      <c r="I403" s="386"/>
      <c r="J403" s="386"/>
    </row>
    <row r="404" spans="7:10" ht="12.75">
      <c r="G404" s="386"/>
      <c r="H404" s="386"/>
      <c r="I404" s="386"/>
      <c r="J404" s="386"/>
    </row>
    <row r="405" spans="7:10" ht="12.75">
      <c r="G405" s="386"/>
      <c r="H405" s="386"/>
      <c r="I405" s="386"/>
      <c r="J405" s="386"/>
    </row>
    <row r="406" spans="7:10" ht="12.75">
      <c r="G406" s="386"/>
      <c r="H406" s="386"/>
      <c r="I406" s="386"/>
      <c r="J406" s="386"/>
    </row>
    <row r="407" spans="7:10" ht="12.75">
      <c r="G407" s="386"/>
      <c r="H407" s="386"/>
      <c r="I407" s="386"/>
      <c r="J407" s="386"/>
    </row>
    <row r="408" spans="7:10" ht="12.75">
      <c r="G408" s="386"/>
      <c r="H408" s="386"/>
      <c r="I408" s="386"/>
      <c r="J408" s="386"/>
    </row>
    <row r="409" spans="7:10" ht="12.75">
      <c r="G409" s="386"/>
      <c r="H409" s="386"/>
      <c r="I409" s="386"/>
      <c r="J409" s="386"/>
    </row>
    <row r="410" spans="7:10" ht="12.75">
      <c r="G410" s="386"/>
      <c r="H410" s="386"/>
      <c r="I410" s="386"/>
      <c r="J410" s="386"/>
    </row>
    <row r="411" spans="7:10" ht="12.75">
      <c r="G411" s="386"/>
      <c r="H411" s="386"/>
      <c r="I411" s="386"/>
      <c r="J411" s="386"/>
    </row>
    <row r="412" spans="7:10" ht="12.75">
      <c r="G412" s="386"/>
      <c r="H412" s="386"/>
      <c r="I412" s="386"/>
      <c r="J412" s="386"/>
    </row>
    <row r="413" spans="7:10" ht="12.75">
      <c r="G413" s="386"/>
      <c r="H413" s="386"/>
      <c r="I413" s="386"/>
      <c r="J413" s="386"/>
    </row>
    <row r="414" spans="7:10" ht="12.75">
      <c r="G414" s="386"/>
      <c r="H414" s="386"/>
      <c r="I414" s="386"/>
      <c r="J414" s="386"/>
    </row>
    <row r="415" spans="7:10" ht="12.75">
      <c r="G415" s="386"/>
      <c r="H415" s="386"/>
      <c r="I415" s="386"/>
      <c r="J415" s="386"/>
    </row>
    <row r="416" spans="7:10" ht="12.75">
      <c r="G416" s="386"/>
      <c r="H416" s="386"/>
      <c r="I416" s="386"/>
      <c r="J416" s="386"/>
    </row>
    <row r="417" spans="7:10" ht="12.75">
      <c r="G417" s="386"/>
      <c r="H417" s="386"/>
      <c r="I417" s="386"/>
      <c r="J417" s="386"/>
    </row>
    <row r="418" spans="7:10" ht="12.75">
      <c r="G418" s="386"/>
      <c r="H418" s="386"/>
      <c r="I418" s="386"/>
      <c r="J418" s="386"/>
    </row>
    <row r="419" spans="7:10" ht="12.75">
      <c r="G419" s="386"/>
      <c r="H419" s="386"/>
      <c r="I419" s="386"/>
      <c r="J419" s="386"/>
    </row>
    <row r="420" spans="7:10" ht="12.75">
      <c r="G420" s="386"/>
      <c r="H420" s="386"/>
      <c r="I420" s="386"/>
      <c r="J420" s="386"/>
    </row>
    <row r="421" spans="7:10" ht="12.75">
      <c r="G421" s="386"/>
      <c r="H421" s="386"/>
      <c r="I421" s="386"/>
      <c r="J421" s="386"/>
    </row>
    <row r="422" spans="7:10" ht="12.75">
      <c r="G422" s="386"/>
      <c r="H422" s="386"/>
      <c r="I422" s="386"/>
      <c r="J422" s="386"/>
    </row>
    <row r="423" spans="7:10" ht="12.75">
      <c r="G423" s="386"/>
      <c r="H423" s="386"/>
      <c r="I423" s="386"/>
      <c r="J423" s="386"/>
    </row>
    <row r="424" spans="7:10" ht="12.75">
      <c r="G424" s="386"/>
      <c r="H424" s="386"/>
      <c r="I424" s="386"/>
      <c r="J424" s="386"/>
    </row>
    <row r="425" spans="7:10" ht="12.75">
      <c r="G425" s="386"/>
      <c r="H425" s="386"/>
      <c r="I425" s="386"/>
      <c r="J425" s="386"/>
    </row>
    <row r="426" spans="7:10" ht="12.75">
      <c r="G426" s="386"/>
      <c r="H426" s="386"/>
      <c r="I426" s="386"/>
      <c r="J426" s="386"/>
    </row>
    <row r="427" spans="7:10" ht="12.75">
      <c r="G427" s="386"/>
      <c r="H427" s="386"/>
      <c r="I427" s="386"/>
      <c r="J427" s="386"/>
    </row>
    <row r="428" spans="7:10" ht="12.75">
      <c r="G428" s="386"/>
      <c r="H428" s="386"/>
      <c r="I428" s="386"/>
      <c r="J428" s="386"/>
    </row>
    <row r="429" spans="7:10" ht="12.75">
      <c r="G429" s="386"/>
      <c r="H429" s="386"/>
      <c r="I429" s="386"/>
      <c r="J429" s="386"/>
    </row>
    <row r="430" spans="7:10" ht="12.75">
      <c r="G430" s="386"/>
      <c r="H430" s="386"/>
      <c r="I430" s="386"/>
      <c r="J430" s="386"/>
    </row>
    <row r="431" spans="7:10" ht="12.75">
      <c r="G431" s="386"/>
      <c r="H431" s="386"/>
      <c r="I431" s="386"/>
      <c r="J431" s="386"/>
    </row>
    <row r="432" spans="7:10" ht="12.75">
      <c r="G432" s="386"/>
      <c r="H432" s="386"/>
      <c r="I432" s="386"/>
      <c r="J432" s="386"/>
    </row>
    <row r="433" spans="7:10" ht="12.75">
      <c r="G433" s="386"/>
      <c r="H433" s="386"/>
      <c r="I433" s="386"/>
      <c r="J433" s="386"/>
    </row>
    <row r="434" spans="7:10" ht="12.75">
      <c r="G434" s="386"/>
      <c r="H434" s="386"/>
      <c r="I434" s="386"/>
      <c r="J434" s="386"/>
    </row>
    <row r="435" spans="7:10" ht="12.75">
      <c r="G435" s="386"/>
      <c r="H435" s="386"/>
      <c r="I435" s="386"/>
      <c r="J435" s="386"/>
    </row>
    <row r="436" spans="7:10" ht="12.75">
      <c r="G436" s="386"/>
      <c r="H436" s="386"/>
      <c r="I436" s="386"/>
      <c r="J436" s="386"/>
    </row>
    <row r="437" spans="7:10" ht="12.75">
      <c r="G437" s="386"/>
      <c r="H437" s="386"/>
      <c r="I437" s="386"/>
      <c r="J437" s="386"/>
    </row>
    <row r="438" spans="7:10" ht="12.75">
      <c r="G438" s="386"/>
      <c r="H438" s="386"/>
      <c r="I438" s="386"/>
      <c r="J438" s="386"/>
    </row>
    <row r="439" spans="7:10" ht="12.75">
      <c r="G439" s="386"/>
      <c r="H439" s="386"/>
      <c r="I439" s="386"/>
      <c r="J439" s="386"/>
    </row>
    <row r="440" spans="7:10" ht="12.75">
      <c r="G440" s="386"/>
      <c r="H440" s="386"/>
      <c r="I440" s="386"/>
      <c r="J440" s="386"/>
    </row>
    <row r="441" spans="7:10" ht="12.75">
      <c r="G441" s="386"/>
      <c r="H441" s="386"/>
      <c r="I441" s="386"/>
      <c r="J441" s="386"/>
    </row>
    <row r="442" spans="7:10" ht="12.75">
      <c r="G442" s="386"/>
      <c r="H442" s="386"/>
      <c r="I442" s="386"/>
      <c r="J442" s="386"/>
    </row>
    <row r="443" spans="7:10" ht="12.75">
      <c r="G443" s="386"/>
      <c r="H443" s="386"/>
      <c r="I443" s="386"/>
      <c r="J443" s="386"/>
    </row>
    <row r="444" spans="7:10" ht="12.75">
      <c r="G444" s="386"/>
      <c r="H444" s="386"/>
      <c r="I444" s="386"/>
      <c r="J444" s="386"/>
    </row>
    <row r="445" spans="7:10" ht="12.75">
      <c r="G445" s="386"/>
      <c r="H445" s="386"/>
      <c r="I445" s="386"/>
      <c r="J445" s="386"/>
    </row>
    <row r="446" spans="7:10" ht="12.75">
      <c r="G446" s="386"/>
      <c r="H446" s="386"/>
      <c r="I446" s="386"/>
      <c r="J446" s="386"/>
    </row>
    <row r="447" spans="7:10" ht="12.75">
      <c r="G447" s="386"/>
      <c r="H447" s="386"/>
      <c r="I447" s="386"/>
      <c r="J447" s="386"/>
    </row>
    <row r="448" spans="7:10" ht="12.75">
      <c r="G448" s="386"/>
      <c r="H448" s="386"/>
      <c r="I448" s="386"/>
      <c r="J448" s="386"/>
    </row>
    <row r="449" spans="7:10" ht="12.75">
      <c r="G449" s="386"/>
      <c r="H449" s="386"/>
      <c r="I449" s="386"/>
      <c r="J449" s="386"/>
    </row>
    <row r="450" spans="7:10" ht="12.75">
      <c r="G450" s="386"/>
      <c r="H450" s="386"/>
      <c r="I450" s="386"/>
      <c r="J450" s="386"/>
    </row>
    <row r="451" spans="7:10" ht="12.75">
      <c r="G451" s="386"/>
      <c r="H451" s="386"/>
      <c r="I451" s="386"/>
      <c r="J451" s="386"/>
    </row>
    <row r="452" spans="7:10" ht="12.75">
      <c r="G452" s="386"/>
      <c r="H452" s="386"/>
      <c r="I452" s="386"/>
      <c r="J452" s="386"/>
    </row>
    <row r="453" spans="7:10" ht="12.75">
      <c r="G453" s="386"/>
      <c r="H453" s="386"/>
      <c r="I453" s="386"/>
      <c r="J453" s="386"/>
    </row>
    <row r="454" spans="7:10" ht="12.75">
      <c r="G454" s="386"/>
      <c r="H454" s="386"/>
      <c r="I454" s="386"/>
      <c r="J454" s="386"/>
    </row>
    <row r="455" spans="7:10" ht="12.75">
      <c r="G455" s="386"/>
      <c r="H455" s="386"/>
      <c r="I455" s="386"/>
      <c r="J455" s="386"/>
    </row>
    <row r="456" spans="7:10" ht="12.75">
      <c r="G456" s="386"/>
      <c r="H456" s="386"/>
      <c r="I456" s="386"/>
      <c r="J456" s="386"/>
    </row>
    <row r="457" spans="7:10" ht="12.75">
      <c r="G457" s="386"/>
      <c r="H457" s="386"/>
      <c r="I457" s="386"/>
      <c r="J457" s="386"/>
    </row>
    <row r="458" spans="7:10" ht="12.75">
      <c r="G458" s="386"/>
      <c r="H458" s="386"/>
      <c r="I458" s="386"/>
      <c r="J458" s="386"/>
    </row>
    <row r="459" spans="7:10" ht="12.75">
      <c r="G459" s="386"/>
      <c r="H459" s="386"/>
      <c r="I459" s="386"/>
      <c r="J459" s="386"/>
    </row>
    <row r="460" spans="7:10" ht="12.75">
      <c r="G460" s="386"/>
      <c r="H460" s="386"/>
      <c r="I460" s="386"/>
      <c r="J460" s="386"/>
    </row>
    <row r="461" spans="7:10" ht="12.75">
      <c r="G461" s="386"/>
      <c r="H461" s="386"/>
      <c r="I461" s="386"/>
      <c r="J461" s="386"/>
    </row>
    <row r="462" spans="7:10" ht="12.75">
      <c r="G462" s="386"/>
      <c r="H462" s="386"/>
      <c r="I462" s="386"/>
      <c r="J462" s="386"/>
    </row>
    <row r="463" spans="7:10" ht="12.75">
      <c r="G463" s="386"/>
      <c r="H463" s="386"/>
      <c r="I463" s="386"/>
      <c r="J463" s="386"/>
    </row>
    <row r="464" spans="7:10" ht="12.75">
      <c r="G464" s="386"/>
      <c r="H464" s="386"/>
      <c r="I464" s="386"/>
      <c r="J464" s="386"/>
    </row>
    <row r="465" spans="7:10" ht="12.75">
      <c r="G465" s="386"/>
      <c r="H465" s="386"/>
      <c r="I465" s="386"/>
      <c r="J465" s="386"/>
    </row>
    <row r="466" spans="7:10" ht="12.75">
      <c r="G466" s="386"/>
      <c r="H466" s="386"/>
      <c r="I466" s="386"/>
      <c r="J466" s="386"/>
    </row>
    <row r="467" spans="7:10" ht="12.75">
      <c r="G467" s="386"/>
      <c r="H467" s="386"/>
      <c r="I467" s="386"/>
      <c r="J467" s="386"/>
    </row>
    <row r="468" spans="7:10" ht="12.75">
      <c r="G468" s="386"/>
      <c r="H468" s="386"/>
      <c r="I468" s="386"/>
      <c r="J468" s="386"/>
    </row>
    <row r="469" spans="7:10" ht="12.75">
      <c r="G469" s="386"/>
      <c r="H469" s="386"/>
      <c r="I469" s="386"/>
      <c r="J469" s="386"/>
    </row>
    <row r="470" spans="7:10" ht="12.75">
      <c r="G470" s="386"/>
      <c r="H470" s="386"/>
      <c r="I470" s="386"/>
      <c r="J470" s="386"/>
    </row>
    <row r="471" spans="7:10" ht="12.75">
      <c r="G471" s="386"/>
      <c r="H471" s="386"/>
      <c r="I471" s="386"/>
      <c r="J471" s="386"/>
    </row>
    <row r="472" spans="7:10" ht="12.75">
      <c r="G472" s="386"/>
      <c r="H472" s="386"/>
      <c r="I472" s="386"/>
      <c r="J472" s="386"/>
    </row>
    <row r="473" spans="7:10" ht="12.75">
      <c r="G473" s="386"/>
      <c r="H473" s="386"/>
      <c r="I473" s="386"/>
      <c r="J473" s="386"/>
    </row>
    <row r="474" spans="7:10" ht="12.75">
      <c r="G474" s="386"/>
      <c r="H474" s="386"/>
      <c r="I474" s="386"/>
      <c r="J474" s="386"/>
    </row>
    <row r="475" spans="7:10" ht="12.75">
      <c r="G475" s="386"/>
      <c r="H475" s="386"/>
      <c r="I475" s="386"/>
      <c r="J475" s="386"/>
    </row>
    <row r="476" spans="7:10" ht="12.75">
      <c r="G476" s="386"/>
      <c r="H476" s="386"/>
      <c r="I476" s="386"/>
      <c r="J476" s="386"/>
    </row>
    <row r="477" spans="7:10" ht="12.75">
      <c r="G477" s="386"/>
      <c r="H477" s="386"/>
      <c r="I477" s="386"/>
      <c r="J477" s="386"/>
    </row>
    <row r="478" spans="7:10" ht="12.75">
      <c r="G478" s="386"/>
      <c r="H478" s="386"/>
      <c r="I478" s="386"/>
      <c r="J478" s="386"/>
    </row>
    <row r="479" spans="7:10" ht="12.75">
      <c r="G479" s="386"/>
      <c r="H479" s="386"/>
      <c r="I479" s="386"/>
      <c r="J479" s="386"/>
    </row>
    <row r="480" spans="7:10" ht="12.75">
      <c r="G480" s="386"/>
      <c r="H480" s="386"/>
      <c r="I480" s="386"/>
      <c r="J480" s="386"/>
    </row>
    <row r="481" spans="7:10" ht="12.75">
      <c r="G481" s="386"/>
      <c r="H481" s="386"/>
      <c r="I481" s="386"/>
      <c r="J481" s="386"/>
    </row>
    <row r="482" spans="7:10" ht="12.75">
      <c r="G482" s="386"/>
      <c r="H482" s="386"/>
      <c r="I482" s="386"/>
      <c r="J482" s="386"/>
    </row>
    <row r="483" spans="7:10" ht="12.75">
      <c r="G483" s="386"/>
      <c r="H483" s="386"/>
      <c r="I483" s="386"/>
      <c r="J483" s="386"/>
    </row>
    <row r="484" spans="7:10" ht="12.75">
      <c r="G484" s="386"/>
      <c r="H484" s="386"/>
      <c r="I484" s="386"/>
      <c r="J484" s="386"/>
    </row>
    <row r="485" spans="7:10" ht="12.75">
      <c r="G485" s="386"/>
      <c r="H485" s="386"/>
      <c r="I485" s="386"/>
      <c r="J485" s="386"/>
    </row>
    <row r="486" spans="7:10" ht="12.75">
      <c r="G486" s="386"/>
      <c r="H486" s="386"/>
      <c r="I486" s="386"/>
      <c r="J486" s="386"/>
    </row>
    <row r="487" spans="7:10" ht="12.75">
      <c r="G487" s="386"/>
      <c r="H487" s="386"/>
      <c r="I487" s="386"/>
      <c r="J487" s="386"/>
    </row>
    <row r="488" spans="7:10" ht="12.75">
      <c r="G488" s="386"/>
      <c r="H488" s="386"/>
      <c r="I488" s="386"/>
      <c r="J488" s="386"/>
    </row>
    <row r="489" spans="7:10" ht="12.75">
      <c r="G489" s="386"/>
      <c r="H489" s="386"/>
      <c r="I489" s="386"/>
      <c r="J489" s="386"/>
    </row>
    <row r="490" spans="7:10" ht="12.75">
      <c r="G490" s="386"/>
      <c r="H490" s="386"/>
      <c r="I490" s="386"/>
      <c r="J490" s="386"/>
    </row>
    <row r="491" spans="7:10" ht="12.75">
      <c r="G491" s="386"/>
      <c r="H491" s="386"/>
      <c r="I491" s="386"/>
      <c r="J491" s="386"/>
    </row>
    <row r="492" spans="7:10" ht="12.75">
      <c r="G492" s="386"/>
      <c r="H492" s="386"/>
      <c r="I492" s="386"/>
      <c r="J492" s="386"/>
    </row>
    <row r="493" spans="7:10" ht="12.75">
      <c r="G493" s="386"/>
      <c r="H493" s="386"/>
      <c r="I493" s="386"/>
      <c r="J493" s="386"/>
    </row>
    <row r="494" spans="7:10" ht="12.75">
      <c r="G494" s="386"/>
      <c r="H494" s="386"/>
      <c r="I494" s="386"/>
      <c r="J494" s="386"/>
    </row>
    <row r="495" spans="7:10" ht="12.75">
      <c r="G495" s="386"/>
      <c r="H495" s="386"/>
      <c r="I495" s="386"/>
      <c r="J495" s="386"/>
    </row>
    <row r="496" spans="7:10" ht="12.75">
      <c r="G496" s="386"/>
      <c r="H496" s="386"/>
      <c r="I496" s="386"/>
      <c r="J496" s="386"/>
    </row>
    <row r="497" spans="7:10" ht="12.75">
      <c r="G497" s="386"/>
      <c r="H497" s="386"/>
      <c r="I497" s="386"/>
      <c r="J497" s="386"/>
    </row>
    <row r="498" spans="7:10" ht="12.75">
      <c r="G498" s="386"/>
      <c r="H498" s="386"/>
      <c r="I498" s="386"/>
      <c r="J498" s="386"/>
    </row>
    <row r="499" spans="7:10" ht="12.75">
      <c r="G499" s="386"/>
      <c r="H499" s="386"/>
      <c r="I499" s="386"/>
      <c r="J499" s="386"/>
    </row>
    <row r="500" spans="7:10" ht="12.75">
      <c r="G500" s="386"/>
      <c r="H500" s="386"/>
      <c r="I500" s="386"/>
      <c r="J500" s="386"/>
    </row>
    <row r="501" spans="7:10" ht="12.75">
      <c r="G501" s="386"/>
      <c r="H501" s="386"/>
      <c r="I501" s="386"/>
      <c r="J501" s="386"/>
    </row>
    <row r="502" spans="7:10" ht="12.75">
      <c r="G502" s="386"/>
      <c r="H502" s="386"/>
      <c r="I502" s="386"/>
      <c r="J502" s="386"/>
    </row>
    <row r="503" spans="7:10" ht="12.75">
      <c r="G503" s="386"/>
      <c r="H503" s="386"/>
      <c r="I503" s="386"/>
      <c r="J503" s="386"/>
    </row>
    <row r="504" spans="7:10" ht="12.75">
      <c r="G504" s="386"/>
      <c r="H504" s="386"/>
      <c r="I504" s="386"/>
      <c r="J504" s="386"/>
    </row>
    <row r="505" spans="7:10" ht="12.75">
      <c r="G505" s="386"/>
      <c r="H505" s="386"/>
      <c r="I505" s="386"/>
      <c r="J505" s="386"/>
    </row>
    <row r="506" spans="7:10" ht="12.75">
      <c r="G506" s="386"/>
      <c r="H506" s="386"/>
      <c r="I506" s="386"/>
      <c r="J506" s="386"/>
    </row>
    <row r="507" spans="7:10" ht="12.75">
      <c r="G507" s="386"/>
      <c r="H507" s="386"/>
      <c r="I507" s="386"/>
      <c r="J507" s="386"/>
    </row>
    <row r="508" spans="7:10" ht="12.75">
      <c r="G508" s="386"/>
      <c r="H508" s="386"/>
      <c r="I508" s="386"/>
      <c r="J508" s="386"/>
    </row>
    <row r="509" spans="7:10" ht="12.75">
      <c r="G509" s="386"/>
      <c r="H509" s="386"/>
      <c r="I509" s="386"/>
      <c r="J509" s="386"/>
    </row>
    <row r="510" spans="7:10" ht="12.75">
      <c r="G510" s="386"/>
      <c r="H510" s="386"/>
      <c r="I510" s="386"/>
      <c r="J510" s="386"/>
    </row>
    <row r="511" spans="7:10" ht="12.75">
      <c r="G511" s="386"/>
      <c r="H511" s="386"/>
      <c r="I511" s="386"/>
      <c r="J511" s="386"/>
    </row>
    <row r="512" spans="7:10" ht="12.75">
      <c r="G512" s="386"/>
      <c r="H512" s="386"/>
      <c r="I512" s="386"/>
      <c r="J512" s="386"/>
    </row>
    <row r="513" spans="7:10" ht="12.75">
      <c r="G513" s="386"/>
      <c r="H513" s="386"/>
      <c r="I513" s="386"/>
      <c r="J513" s="386"/>
    </row>
    <row r="514" spans="7:10" ht="12.75">
      <c r="G514" s="386"/>
      <c r="H514" s="386"/>
      <c r="I514" s="386"/>
      <c r="J514" s="386"/>
    </row>
    <row r="515" spans="7:10" ht="12.75">
      <c r="G515" s="386"/>
      <c r="H515" s="386"/>
      <c r="I515" s="386"/>
      <c r="J515" s="386"/>
    </row>
    <row r="516" spans="7:10" ht="12.75">
      <c r="G516" s="386"/>
      <c r="H516" s="386"/>
      <c r="I516" s="386"/>
      <c r="J516" s="386"/>
    </row>
    <row r="517" spans="7:10" ht="12.75">
      <c r="G517" s="386"/>
      <c r="H517" s="386"/>
      <c r="I517" s="386"/>
      <c r="J517" s="386"/>
    </row>
    <row r="518" spans="7:10" ht="12.75">
      <c r="G518" s="386"/>
      <c r="H518" s="386"/>
      <c r="I518" s="386"/>
      <c r="J518" s="386"/>
    </row>
    <row r="519" spans="7:10" ht="12.75">
      <c r="G519" s="386"/>
      <c r="H519" s="386"/>
      <c r="I519" s="386"/>
      <c r="J519" s="386"/>
    </row>
    <row r="520" spans="7:10" ht="12.75">
      <c r="G520" s="386"/>
      <c r="H520" s="386"/>
      <c r="I520" s="386"/>
      <c r="J520" s="386"/>
    </row>
    <row r="521" spans="7:10" ht="12.75">
      <c r="G521" s="386"/>
      <c r="H521" s="386"/>
      <c r="I521" s="386"/>
      <c r="J521" s="386"/>
    </row>
    <row r="522" spans="7:10" ht="12.75">
      <c r="G522" s="386"/>
      <c r="H522" s="386"/>
      <c r="I522" s="386"/>
      <c r="J522" s="386"/>
    </row>
    <row r="523" spans="7:10" ht="12.75">
      <c r="G523" s="386"/>
      <c r="H523" s="386"/>
      <c r="I523" s="386"/>
      <c r="J523" s="386"/>
    </row>
    <row r="524" spans="7:10" ht="12.75">
      <c r="G524" s="386"/>
      <c r="H524" s="386"/>
      <c r="I524" s="386"/>
      <c r="J524" s="386"/>
    </row>
    <row r="525" spans="7:10" ht="12.75">
      <c r="G525" s="386"/>
      <c r="H525" s="386"/>
      <c r="I525" s="386"/>
      <c r="J525" s="386"/>
    </row>
    <row r="526" spans="7:10" ht="12.75">
      <c r="G526" s="386"/>
      <c r="H526" s="386"/>
      <c r="I526" s="386"/>
      <c r="J526" s="386"/>
    </row>
    <row r="527" spans="7:10" ht="12.75">
      <c r="G527" s="386"/>
      <c r="H527" s="386"/>
      <c r="I527" s="386"/>
      <c r="J527" s="386"/>
    </row>
    <row r="528" spans="7:10" ht="12.75">
      <c r="G528" s="386"/>
      <c r="H528" s="386"/>
      <c r="I528" s="386"/>
      <c r="J528" s="386"/>
    </row>
    <row r="529" spans="7:10" ht="12.75">
      <c r="G529" s="386"/>
      <c r="H529" s="386"/>
      <c r="I529" s="386"/>
      <c r="J529" s="386"/>
    </row>
    <row r="530" spans="7:10" ht="12.75">
      <c r="G530" s="386"/>
      <c r="H530" s="386"/>
      <c r="I530" s="386"/>
      <c r="J530" s="386"/>
    </row>
    <row r="531" spans="7:10" ht="12.75">
      <c r="G531" s="386"/>
      <c r="H531" s="386"/>
      <c r="I531" s="386"/>
      <c r="J531" s="386"/>
    </row>
    <row r="532" spans="7:10" ht="12.75">
      <c r="G532" s="386"/>
      <c r="H532" s="386"/>
      <c r="I532" s="386"/>
      <c r="J532" s="386"/>
    </row>
    <row r="533" spans="7:10" ht="12.75">
      <c r="G533" s="386"/>
      <c r="H533" s="386"/>
      <c r="I533" s="386"/>
      <c r="J533" s="386"/>
    </row>
    <row r="534" spans="7:10" ht="12.75">
      <c r="G534" s="386"/>
      <c r="H534" s="386"/>
      <c r="I534" s="386"/>
      <c r="J534" s="386"/>
    </row>
    <row r="535" spans="7:10" ht="12.75">
      <c r="G535" s="386"/>
      <c r="H535" s="386"/>
      <c r="I535" s="386"/>
      <c r="J535" s="386"/>
    </row>
    <row r="536" spans="7:10" ht="12.75">
      <c r="G536" s="386"/>
      <c r="H536" s="386"/>
      <c r="I536" s="386"/>
      <c r="J536" s="386"/>
    </row>
    <row r="537" spans="7:10" ht="12.75">
      <c r="G537" s="386"/>
      <c r="H537" s="386"/>
      <c r="I537" s="386"/>
      <c r="J537" s="386"/>
    </row>
    <row r="538" spans="7:10" ht="12.75">
      <c r="G538" s="386"/>
      <c r="H538" s="386"/>
      <c r="I538" s="386"/>
      <c r="J538" s="386"/>
    </row>
    <row r="539" spans="7:10" ht="12.75">
      <c r="G539" s="386"/>
      <c r="H539" s="386"/>
      <c r="I539" s="386"/>
      <c r="J539" s="386"/>
    </row>
    <row r="540" spans="7:10" ht="12.75">
      <c r="G540" s="386"/>
      <c r="H540" s="386"/>
      <c r="I540" s="386"/>
      <c r="J540" s="386"/>
    </row>
    <row r="541" spans="7:10" ht="12.75">
      <c r="G541" s="386"/>
      <c r="H541" s="386"/>
      <c r="I541" s="386"/>
      <c r="J541" s="386"/>
    </row>
    <row r="542" spans="7:10" ht="12.75">
      <c r="G542" s="386"/>
      <c r="H542" s="386"/>
      <c r="I542" s="386"/>
      <c r="J542" s="386"/>
    </row>
    <row r="543" spans="7:10" ht="12.75">
      <c r="G543" s="386"/>
      <c r="H543" s="386"/>
      <c r="I543" s="386"/>
      <c r="J543" s="386"/>
    </row>
    <row r="544" spans="7:10" ht="12.75">
      <c r="G544" s="386"/>
      <c r="H544" s="386"/>
      <c r="I544" s="386"/>
      <c r="J544" s="386"/>
    </row>
    <row r="545" spans="7:10" ht="12.75">
      <c r="G545" s="386"/>
      <c r="H545" s="386"/>
      <c r="I545" s="386"/>
      <c r="J545" s="386"/>
    </row>
    <row r="546" spans="7:10" ht="12.75">
      <c r="G546" s="386"/>
      <c r="H546" s="386"/>
      <c r="I546" s="386"/>
      <c r="J546" s="386"/>
    </row>
    <row r="547" spans="7:10" ht="12.75">
      <c r="G547" s="386"/>
      <c r="H547" s="386"/>
      <c r="I547" s="386"/>
      <c r="J547" s="386"/>
    </row>
    <row r="548" spans="7:10" ht="12.75">
      <c r="G548" s="386"/>
      <c r="H548" s="386"/>
      <c r="I548" s="386"/>
      <c r="J548" s="386"/>
    </row>
    <row r="549" spans="7:10" ht="12.75">
      <c r="G549" s="386"/>
      <c r="H549" s="386"/>
      <c r="I549" s="386"/>
      <c r="J549" s="386"/>
    </row>
    <row r="550" spans="7:10" ht="12.75">
      <c r="G550" s="386"/>
      <c r="H550" s="386"/>
      <c r="I550" s="386"/>
      <c r="J550" s="386"/>
    </row>
    <row r="551" spans="7:10" ht="12.75">
      <c r="G551" s="386"/>
      <c r="H551" s="386"/>
      <c r="I551" s="386"/>
      <c r="J551" s="386"/>
    </row>
    <row r="552" spans="7:10" ht="12.75">
      <c r="G552" s="386"/>
      <c r="H552" s="386"/>
      <c r="I552" s="386"/>
      <c r="J552" s="386"/>
    </row>
    <row r="553" spans="7:10" ht="12.75">
      <c r="G553" s="386"/>
      <c r="H553" s="386"/>
      <c r="I553" s="386"/>
      <c r="J553" s="386"/>
    </row>
    <row r="554" spans="7:10" ht="12.75">
      <c r="G554" s="386"/>
      <c r="H554" s="386"/>
      <c r="I554" s="386"/>
      <c r="J554" s="386"/>
    </row>
    <row r="555" spans="7:10" ht="12.75">
      <c r="G555" s="386"/>
      <c r="H555" s="386"/>
      <c r="I555" s="386"/>
      <c r="J555" s="386"/>
    </row>
    <row r="556" spans="7:10" ht="12.75">
      <c r="G556" s="386"/>
      <c r="H556" s="386"/>
      <c r="I556" s="386"/>
      <c r="J556" s="386"/>
    </row>
    <row r="557" spans="7:10" ht="12.75">
      <c r="G557" s="386"/>
      <c r="H557" s="386"/>
      <c r="I557" s="386"/>
      <c r="J557" s="386"/>
    </row>
    <row r="558" spans="7:10" ht="12.75">
      <c r="G558" s="386"/>
      <c r="H558" s="386"/>
      <c r="I558" s="386"/>
      <c r="J558" s="386"/>
    </row>
    <row r="559" spans="7:10" ht="12.75">
      <c r="G559" s="386"/>
      <c r="H559" s="386"/>
      <c r="I559" s="386"/>
      <c r="J559" s="386"/>
    </row>
    <row r="560" spans="7:10" ht="12.75">
      <c r="G560" s="386"/>
      <c r="H560" s="386"/>
      <c r="I560" s="386"/>
      <c r="J560" s="386"/>
    </row>
    <row r="561" spans="7:10" ht="12.75">
      <c r="G561" s="386"/>
      <c r="H561" s="386"/>
      <c r="I561" s="386"/>
      <c r="J561" s="386"/>
    </row>
    <row r="562" spans="7:10" ht="12.75">
      <c r="G562" s="386"/>
      <c r="H562" s="386"/>
      <c r="I562" s="386"/>
      <c r="J562" s="386"/>
    </row>
    <row r="563" spans="7:10" ht="12.75">
      <c r="G563" s="386"/>
      <c r="H563" s="386"/>
      <c r="I563" s="386"/>
      <c r="J563" s="386"/>
    </row>
    <row r="564" spans="7:10" ht="12.75">
      <c r="G564" s="386"/>
      <c r="H564" s="386"/>
      <c r="I564" s="386"/>
      <c r="J564" s="386"/>
    </row>
    <row r="565" spans="7:10" ht="12.75">
      <c r="G565" s="386"/>
      <c r="H565" s="386"/>
      <c r="I565" s="386"/>
      <c r="J565" s="386"/>
    </row>
    <row r="566" spans="7:10" ht="12.75">
      <c r="G566" s="386"/>
      <c r="H566" s="386"/>
      <c r="I566" s="386"/>
      <c r="J566" s="386"/>
    </row>
    <row r="567" spans="7:10" ht="12.75">
      <c r="G567" s="386"/>
      <c r="H567" s="386"/>
      <c r="I567" s="386"/>
      <c r="J567" s="386"/>
    </row>
    <row r="568" spans="7:10" ht="12.75">
      <c r="G568" s="386"/>
      <c r="H568" s="386"/>
      <c r="I568" s="386"/>
      <c r="J568" s="386"/>
    </row>
    <row r="569" spans="7:10" ht="12.75">
      <c r="G569" s="386"/>
      <c r="H569" s="386"/>
      <c r="I569" s="386"/>
      <c r="J569" s="386"/>
    </row>
    <row r="570" spans="7:10" ht="12.75">
      <c r="G570" s="386"/>
      <c r="H570" s="386"/>
      <c r="I570" s="386"/>
      <c r="J570" s="386"/>
    </row>
    <row r="571" spans="7:10" ht="12.75">
      <c r="G571" s="386"/>
      <c r="H571" s="386"/>
      <c r="I571" s="386"/>
      <c r="J571" s="386"/>
    </row>
    <row r="572" spans="7:10" ht="12.75">
      <c r="G572" s="386"/>
      <c r="H572" s="386"/>
      <c r="I572" s="386"/>
      <c r="J572" s="386"/>
    </row>
    <row r="573" spans="7:10" ht="12.75">
      <c r="G573" s="386"/>
      <c r="H573" s="386"/>
      <c r="I573" s="386"/>
      <c r="J573" s="386"/>
    </row>
    <row r="574" spans="7:10" ht="12.75">
      <c r="G574" s="386"/>
      <c r="H574" s="386"/>
      <c r="I574" s="386"/>
      <c r="J574" s="386"/>
    </row>
    <row r="575" spans="7:10" ht="12.75">
      <c r="G575" s="386"/>
      <c r="H575" s="386"/>
      <c r="I575" s="386"/>
      <c r="J575" s="386"/>
    </row>
    <row r="576" spans="7:10" ht="12.75">
      <c r="G576" s="386"/>
      <c r="H576" s="386"/>
      <c r="I576" s="386"/>
      <c r="J576" s="386"/>
    </row>
    <row r="577" spans="7:10" ht="12.75">
      <c r="G577" s="386"/>
      <c r="H577" s="386"/>
      <c r="I577" s="386"/>
      <c r="J577" s="386"/>
    </row>
    <row r="578" spans="7:10" ht="12.75">
      <c r="G578" s="386"/>
      <c r="H578" s="386"/>
      <c r="I578" s="386"/>
      <c r="J578" s="386"/>
    </row>
    <row r="579" spans="7:10" ht="12.75">
      <c r="G579" s="386"/>
      <c r="H579" s="386"/>
      <c r="I579" s="386"/>
      <c r="J579" s="386"/>
    </row>
    <row r="580" spans="7:10" ht="12.75">
      <c r="G580" s="386"/>
      <c r="H580" s="386"/>
      <c r="I580" s="386"/>
      <c r="J580" s="386"/>
    </row>
    <row r="581" spans="7:10" ht="12.75">
      <c r="G581" s="386"/>
      <c r="H581" s="386"/>
      <c r="I581" s="386"/>
      <c r="J581" s="386"/>
    </row>
    <row r="582" spans="7:10" ht="12.75">
      <c r="G582" s="386"/>
      <c r="H582" s="386"/>
      <c r="I582" s="386"/>
      <c r="J582" s="386"/>
    </row>
    <row r="583" spans="7:10" ht="12.75">
      <c r="G583" s="386"/>
      <c r="H583" s="386"/>
      <c r="I583" s="386"/>
      <c r="J583" s="386"/>
    </row>
    <row r="584" spans="7:10" ht="12.75">
      <c r="G584" s="386"/>
      <c r="H584" s="386"/>
      <c r="I584" s="386"/>
      <c r="J584" s="386"/>
    </row>
    <row r="585" spans="7:10" ht="12.75">
      <c r="G585" s="386"/>
      <c r="H585" s="386"/>
      <c r="I585" s="386"/>
      <c r="J585" s="386"/>
    </row>
    <row r="586" spans="7:10" ht="12.75">
      <c r="G586" s="386"/>
      <c r="H586" s="386"/>
      <c r="I586" s="386"/>
      <c r="J586" s="386"/>
    </row>
    <row r="587" spans="7:10" ht="12.75">
      <c r="G587" s="386"/>
      <c r="H587" s="386"/>
      <c r="I587" s="386"/>
      <c r="J587" s="386"/>
    </row>
    <row r="588" spans="7:10" ht="12.75">
      <c r="G588" s="386"/>
      <c r="H588" s="386"/>
      <c r="I588" s="386"/>
      <c r="J588" s="386"/>
    </row>
    <row r="589" spans="7:10" ht="12.75">
      <c r="G589" s="386"/>
      <c r="H589" s="386"/>
      <c r="I589" s="386"/>
      <c r="J589" s="386"/>
    </row>
    <row r="590" spans="7:10" ht="12.75">
      <c r="G590" s="386"/>
      <c r="H590" s="386"/>
      <c r="I590" s="386"/>
      <c r="J590" s="386"/>
    </row>
    <row r="591" spans="7:10" ht="12.75">
      <c r="G591" s="386"/>
      <c r="H591" s="386"/>
      <c r="I591" s="386"/>
      <c r="J591" s="386"/>
    </row>
    <row r="592" spans="7:10" ht="12.75">
      <c r="G592" s="386"/>
      <c r="H592" s="386"/>
      <c r="I592" s="386"/>
      <c r="J592" s="386"/>
    </row>
    <row r="593" spans="7:10" ht="12.75">
      <c r="G593" s="386"/>
      <c r="H593" s="386"/>
      <c r="I593" s="386"/>
      <c r="J593" s="386"/>
    </row>
    <row r="594" spans="7:10" ht="12.75">
      <c r="G594" s="386"/>
      <c r="H594" s="386"/>
      <c r="I594" s="386"/>
      <c r="J594" s="386"/>
    </row>
    <row r="595" spans="7:10" ht="12.75">
      <c r="G595" s="386"/>
      <c r="H595" s="386"/>
      <c r="I595" s="386"/>
      <c r="J595" s="386"/>
    </row>
    <row r="596" spans="7:10" ht="12.75">
      <c r="G596" s="386"/>
      <c r="H596" s="386"/>
      <c r="I596" s="386"/>
      <c r="J596" s="386"/>
    </row>
    <row r="597" spans="7:10" ht="12.75">
      <c r="G597" s="386"/>
      <c r="H597" s="386"/>
      <c r="I597" s="386"/>
      <c r="J597" s="386"/>
    </row>
    <row r="598" spans="7:10" ht="12.75">
      <c r="G598" s="386"/>
      <c r="H598" s="386"/>
      <c r="I598" s="386"/>
      <c r="J598" s="386"/>
    </row>
    <row r="599" spans="7:10" ht="12.75">
      <c r="G599" s="386"/>
      <c r="H599" s="386"/>
      <c r="I599" s="386"/>
      <c r="J599" s="386"/>
    </row>
    <row r="600" spans="7:10" ht="12.75">
      <c r="G600" s="386"/>
      <c r="H600" s="386"/>
      <c r="I600" s="386"/>
      <c r="J600" s="386"/>
    </row>
    <row r="601" spans="7:10" ht="12.75">
      <c r="G601" s="386"/>
      <c r="H601" s="386"/>
      <c r="I601" s="386"/>
      <c r="J601" s="386"/>
    </row>
    <row r="602" spans="7:10" ht="12.75">
      <c r="G602" s="386"/>
      <c r="H602" s="386"/>
      <c r="I602" s="386"/>
      <c r="J602" s="386"/>
    </row>
    <row r="603" spans="7:10" ht="12.75">
      <c r="G603" s="386"/>
      <c r="H603" s="386"/>
      <c r="I603" s="386"/>
      <c r="J603" s="386"/>
    </row>
    <row r="604" spans="7:10" ht="12.75">
      <c r="G604" s="386"/>
      <c r="H604" s="386"/>
      <c r="I604" s="386"/>
      <c r="J604" s="386"/>
    </row>
    <row r="605" spans="7:10" ht="12.75">
      <c r="G605" s="386"/>
      <c r="H605" s="386"/>
      <c r="I605" s="386"/>
      <c r="J605" s="386"/>
    </row>
    <row r="606" spans="7:10" ht="12.75">
      <c r="G606" s="386"/>
      <c r="H606" s="386"/>
      <c r="I606" s="386"/>
      <c r="J606" s="386"/>
    </row>
    <row r="607" spans="7:10" ht="12.75">
      <c r="G607" s="386"/>
      <c r="H607" s="386"/>
      <c r="I607" s="386"/>
      <c r="J607" s="386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dsti</dc:creator>
  <cp:keywords/>
  <dc:description/>
  <cp:lastModifiedBy>saunders</cp:lastModifiedBy>
  <cp:lastPrinted>2005-10-14T15:02:35Z</cp:lastPrinted>
  <dcterms:created xsi:type="dcterms:W3CDTF">2005-06-16T21:54:40Z</dcterms:created>
  <dcterms:modified xsi:type="dcterms:W3CDTF">2005-10-21T19:56:28Z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826938430</vt:i4>
  </property>
  <property fmtid="{D5CDD505-2E9C-101B-9397-08002B2CF9AE}" pid="3" name="_EmailSubject">
    <vt:lpwstr/>
  </property>
  <property fmtid="{D5CDD505-2E9C-101B-9397-08002B2CF9AE}" pid="4" name="_AuthorEmail">
    <vt:lpwstr>Bill.Harper@mssite01.ion.chevron.com</vt:lpwstr>
  </property>
  <property fmtid="{D5CDD505-2E9C-101B-9397-08002B2CF9AE}" pid="5" name="_AuthorEmailDisplayName">
    <vt:lpwstr>Harper, William G (Bill.Harper)</vt:lpwstr>
  </property>
  <property fmtid="{D5CDD505-2E9C-101B-9397-08002B2CF9AE}" pid="6" name="_PreviousAdHocReviewCycleID">
    <vt:i4>-1413090991</vt:i4>
  </property>
  <property fmtid="{D5CDD505-2E9C-101B-9397-08002B2CF9AE}" pid="7" name="_ReviewingToolsShownOnce">
    <vt:lpwstr/>
  </property>
</Properties>
</file>