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0" windowWidth="11685" windowHeight="6330" tabRatio="922" firstSheet="3" activeTab="3"/>
  </bookViews>
  <sheets>
    <sheet name=" Project Info" sheetId="1" state="hidden" r:id="rId1"/>
    <sheet name="Cover" sheetId="2" state="hidden" r:id="rId2"/>
    <sheet name="Basis" sheetId="3" state="hidden" r:id="rId3"/>
    <sheet name="Estimate Summary" sheetId="4" r:id="rId4"/>
    <sheet name="Breakdown Struc" sheetId="5" state="hidden" r:id="rId5"/>
    <sheet name="Final Items 112603" sheetId="6" state="hidden" r:id="rId6"/>
    <sheet name="NIC Room Breakdown" sheetId="7" state="hidden" r:id="rId7"/>
  </sheets>
  <externalReferences>
    <externalReference r:id="rId10"/>
    <externalReference r:id="rId11"/>
    <externalReference r:id="rId12"/>
  </externalReferences>
  <definedNames>
    <definedName name="\C">'[1]Estimate'!#REF!</definedName>
    <definedName name="\E">'[1]Estimate'!#REF!</definedName>
    <definedName name="\Q">'[1]Estimate'!#REF!</definedName>
    <definedName name="\R">'[1]Estimate'!#REF!</definedName>
    <definedName name="\X">'[1]Estimate'!#REF!</definedName>
    <definedName name="__123Graph_A" hidden="1">'[1]Estimate'!$J$270:$J$280</definedName>
    <definedName name="__123Graph_ABAR" hidden="1">'[1]Estimate'!$K$270:$K$280</definedName>
    <definedName name="__123Graph_ASYSTEMS" hidden="1">'[1]Estimate'!$K$270:$K$279</definedName>
    <definedName name="__123Graph_B" hidden="1">'[1]Estimate'!$K$270:$K$280</definedName>
    <definedName name="__123Graph_BBAR" hidden="1">'[1]Estimate'!#REF!</definedName>
    <definedName name="__123Graph_BSYSTEMS" hidden="1">'[1]Estimate'!#REF!</definedName>
    <definedName name="__123Graph_C" hidden="1">'[1]Estimate'!#REF!</definedName>
    <definedName name="__123Graph_CSYSTEMS" hidden="1">'[1]Estimate'!#REF!</definedName>
    <definedName name="__123Graph_DSYSTEMS" hidden="1">'[1]Estimate'!#REF!</definedName>
    <definedName name="__123Graph_ESYSTEMS" hidden="1">'[1]Estimate'!#REF!</definedName>
    <definedName name="__123Graph_X" hidden="1">'[1]Estimate'!$J$270:$J$280</definedName>
    <definedName name="__123Graph_XBAR" hidden="1">'[1]Estimate'!$J$270:$J$280</definedName>
    <definedName name="__123Graph_XSYSTEMS" hidden="1">'[1]Estimate'!$J$270:$J$280</definedName>
    <definedName name="ASSUMPTIONS">'[2]Design Assumptions'!$A$4:$I$115</definedName>
    <definedName name="BAYLOAD">'[2]Design Assumptions'!$E$95</definedName>
    <definedName name="BAYSIZE">'[2]Design Assumptions'!$E$14</definedName>
    <definedName name="Bid_Date">' Project Info'!$D$16</definedName>
    <definedName name="BLDGEFF">'[2]Design Assumptions'!$E$10</definedName>
    <definedName name="C_BAYSIZE">'[2]Proj Dependent Design Choices'!$A$47:$C$49</definedName>
    <definedName name="C_BLDGEFF">'[2]Proj Dependent Design Choices'!$A$16:$B$18</definedName>
    <definedName name="C_CLNGFINISH">'[2]Proj Indep Design Choices'!$A$105:$C$111</definedName>
    <definedName name="C_COLFIREPROTCT">'[2]Proj Indep Design Choices'!$A$38:$C$40</definedName>
    <definedName name="C_COOLING">'[2]Proj Indep Design Choices'!$A$130:$C$130</definedName>
    <definedName name="C_ELECT">'[2]Proj Indep Design Choices'!$A$161:$C$163</definedName>
    <definedName name="C_ELEVATORS">'[2]Proj Indep Design Choices'!$A$117:$C$119</definedName>
    <definedName name="C_ELEVFLOOR">'[2]Proj Indep Design Choices'!$A$34:$D$36</definedName>
    <definedName name="C_EXCAV">'[2]Proj Indep Design Choices'!$A$18:$C$19</definedName>
    <definedName name="C_EXTDOORS">'[2]Proj Indep Design Choices'!$A$55:$C$56</definedName>
    <definedName name="C_EXTWALLS">'[2]Proj Indep Design Choices'!$A$47:$C$53</definedName>
    <definedName name="C_EXTWINDOWS">'[2]Proj Indep Design Choices'!$A$58:$C$60</definedName>
    <definedName name="C_FIREPROTECT">'[2]Proj Indep Design Choices'!$A$125:$C$128</definedName>
    <definedName name="C_FLOORFINISH">'[2]Proj Indep Design Choices'!$A$97:$C$103</definedName>
    <definedName name="C_FLRHGT">'[2]Proj Dependent Design Choices'!$A$41:$C$45</definedName>
    <definedName name="C_GSF">'[2]Proj Dependent Design Choices'!$A$10:$C$14</definedName>
    <definedName name="C_INTDOORS">'[2]Proj Indep Design Choices'!$A$93:$C$95</definedName>
    <definedName name="C_LIGHTING">'[2]Proj Indep Design Choices'!$A$165:$C$167</definedName>
    <definedName name="C_PARTN">'[2]Proj Indep Design Choices'!$A$78:$C$83</definedName>
    <definedName name="C_PARTNFINISH">'[2]Proj Indep Design Choices'!$A$85:$C$91</definedName>
    <definedName name="C_PCNTWINDOW">'[2]Proj Dependent Design Choices'!$A$56:$B$59</definedName>
    <definedName name="C_PERIMETER">'[2]Proj Dependent Design Choices'!$A$51:$C$54</definedName>
    <definedName name="C_PLUMBING">'[2]Proj Indep Design Choices'!$A$121:$C$123</definedName>
    <definedName name="C_ROOF">'[2]Proj Indep Design Choices'!$A$42:$D$42</definedName>
    <definedName name="C_ROOFCOVER">'[2]Proj Indep Design Choices'!$A$62:$C$65</definedName>
    <definedName name="C_ROOFEDGE">'[2]Proj Indep Design Choices'!$A$71:$C$73</definedName>
    <definedName name="C_ROOFINSUL">'[2]Proj Indep Design Choices'!$A$67:$C$69</definedName>
    <definedName name="C_SITEAREA">'[2]Proj Dependent Design Choices'!$A$6:$C$8</definedName>
    <definedName name="C_SITEIMPROVE">'[2]Proj Indep Design Choices'!$A$201:$C$203</definedName>
    <definedName name="C_SITEUTILITIES">'[2]Proj Indep Design Choices'!$A$235:$C$235</definedName>
    <definedName name="C_SOG">'[2]Proj Indep Design Choices'!$A$21:$C$22</definedName>
    <definedName name="C_SPREADFTG">'[2]Proj Indep Design Choices'!$A$6:$C$7</definedName>
    <definedName name="C_STAIRS">'[2]Proj Indep Design Choices'!$A$44:$C$45</definedName>
    <definedName name="C_STRIPFTG">'[2]Proj Indep Design Choices'!$A$9:$C$11</definedName>
    <definedName name="City">"Client_City"</definedName>
    <definedName name="Client_Address1">' Project Info'!$D$21</definedName>
    <definedName name="Client_Address2">' Project Info'!$D$22</definedName>
    <definedName name="Client_City">' Project Info'!$D$23</definedName>
    <definedName name="Client_Company">' Project Info'!$D$20</definedName>
    <definedName name="Client_Country">' Project Info'!$D$26</definedName>
    <definedName name="Client_E_mail">' Project Info'!$D$29</definedName>
    <definedName name="Client_Fax">' Project Info'!$D$28</definedName>
    <definedName name="Client_Name">' Project Info'!$D$19</definedName>
    <definedName name="Client_Phone">' Project Info'!$D$27</definedName>
    <definedName name="Client_State">' Project Info'!$D$24</definedName>
    <definedName name="Client_Zip">' Project Info'!$D$25</definedName>
    <definedName name="Construction_Period">' Project Info'!$D$17</definedName>
    <definedName name="COST_MODEL">'[2]Design Assumptions'!$A$32:$L$115</definedName>
    <definedName name="COST_SUMMARY">'[2]Function-Cost-Worth Analysis'!$A$1:$J$80</definedName>
    <definedName name="COSTMOD">'[1]Estimate'!#REF!</definedName>
    <definedName name="Database_MI">'[2]Building Cost&amp;Qual Selections'!$A$1:$K$259</definedName>
    <definedName name="DIGCSI">'[1]Estimate'!#REF!</definedName>
    <definedName name="DISP_SUMMARY">'[2]Function-Cost-Worth Analysis'!$A$1:$K$80</definedName>
    <definedName name="estimate_stage">' Project Info'!$P$3</definedName>
    <definedName name="estimate_type">' Project Info'!$P$11</definedName>
    <definedName name="Estimator_1">' Project Info'!$P$21</definedName>
    <definedName name="Estimator_2">' Project Info'!$P$22</definedName>
    <definedName name="Estimator_3">' Project Info'!$P$23</definedName>
    <definedName name="Estimator_4">' Project Info'!$P$24</definedName>
    <definedName name="EXTDOORS">'[2]Design Assumptions'!$E$20</definedName>
    <definedName name="EXTDOORSIZE">'[2]Design Assumptions'!$E$16</definedName>
    <definedName name="EXTERIORCONSTR">'[2]Function-Cost-Worth Analysis'!$D$74:$D$75</definedName>
    <definedName name="EXTWALL">'[2]Design Assumptions'!$E$88</definedName>
    <definedName name="FLIGHTS">'[2]Design Assumptions'!$E$87</definedName>
    <definedName name="FLRTOFLR">'[2]Design Assumptions'!$E$12</definedName>
    <definedName name="FOUNDATIONS">'[2]Function-Cost-Worth Analysis'!$B$74:$B$75</definedName>
    <definedName name="ga">'[3] Project Info'!$H$16</definedName>
    <definedName name="GFA">#REF!</definedName>
    <definedName name="GSF">'[2]Design Assumptions'!$E$9</definedName>
    <definedName name="GSFCOST">'[2]Building Cost&amp;Qual Selections'!$K$16:$K$222</definedName>
    <definedName name="HEADING">'[1]Estimate'!#REF!</definedName>
    <definedName name="INTDOORS">'[2]Design Assumptions'!$E$93</definedName>
    <definedName name="INTERIORCONSTR">'[2]Function-Cost-Worth Analysis'!$E$74:$E$75</definedName>
    <definedName name="Lead_Estimator">' Project Info'!$P$20</definedName>
    <definedName name="LENUTILITY">'[2]Design Assumptions'!$E$102</definedName>
    <definedName name="LFCOLUMN">'[2]Design Assumptions'!$E$83</definedName>
    <definedName name="LINE">'[1]Estimate'!#REF!</definedName>
    <definedName name="LOCFACTOR">'[2]Design Assumptions'!$E$7</definedName>
    <definedName name="Logo">' Project Info'!$H$1</definedName>
    <definedName name="MATL_DATABASE">'[2]Proj Indep Design Choices'!$A$1:$D$307</definedName>
    <definedName name="NCARS">'[2]Design Assumptions'!$E$98</definedName>
    <definedName name="NCOLUMNS">'[2]Design Assumptions'!$E$82</definedName>
    <definedName name="NFLOORS">'[2]Design Assumptions'!$E$11</definedName>
    <definedName name="NO">'[2]Building Cost&amp;Qual Selections'!$B$16:$D$222</definedName>
    <definedName name="NSHRUBS">'[2]Design Assumptions'!$E$115</definedName>
    <definedName name="NUMFLIGHTS">'[2]Design Assumptions'!$E$87</definedName>
    <definedName name="NUMPEOPLE">'[2]Design Assumptions'!$E$80</definedName>
    <definedName name="NWINDOWS">'[2]Design Assumptions'!$E$91</definedName>
    <definedName name="P_AIRCOND">'[2]Unit Price Catalog'!$A$265:$C$267</definedName>
    <definedName name="P_CLNGFINISH">'[2]Unit Price Catalog'!$A$192:$C$198</definedName>
    <definedName name="P_COLFIREPROTCT">'[2]Unit Price Catalog'!$A$112:$C$114</definedName>
    <definedName name="P_COMPOSITE">'[2]Unit Price Catalog'!$A$104:$G$106</definedName>
    <definedName name="P_COOLING">'[2]Unit Price Catalog'!$A$227:$C$227</definedName>
    <definedName name="P_ELEVATORS">'[2]Unit Price Catalog'!$A$204:$C$209</definedName>
    <definedName name="P_ELEVMOTOR">'[2]Unit Price Catalog'!$A$293:$C$295</definedName>
    <definedName name="P_EXTDOORS">'[2]Unit Price Catalog'!$A$142:$C$143</definedName>
    <definedName name="P_EXTWALL">'[2]Unit Price Catalog'!$A$134:$C$140</definedName>
    <definedName name="P_EXTWINDOWS">'[2]Unit Price Catalog'!$A$145:$C$147</definedName>
    <definedName name="P_FDNDRAIN">'[2]Unit Price Catalog'!$A$63:$C$65</definedName>
    <definedName name="P_FDNWALL">'[2]Unit Price Catalog'!$A$55:$C$57</definedName>
    <definedName name="P_FDNWATERPROOF">'[2]Unit Price Catalog'!$A$59:$C$61</definedName>
    <definedName name="P_FLOORFINISH">'[2]Unit Price Catalog'!$A$184:$C$190</definedName>
    <definedName name="P_GASPIPE">'[2]Unit Price Catalog'!$A$371:$C$371</definedName>
    <definedName name="P_INTDOORS">'[2]Unit Price Catalog'!$A$180:$C$182</definedName>
    <definedName name="P_LIGHTING">'[2]Unit Price Catalog'!$A$261:$C$263</definedName>
    <definedName name="P_METALPANSTAIR">'[2]Unit Price Catalog'!$A$127:$C$132</definedName>
    <definedName name="P_MISCMOTORS">'[2]Unit Price Catalog'!$A$289:$C$291</definedName>
    <definedName name="P_PARTN">'[2]Unit Price Catalog'!$A$165:$C$170</definedName>
    <definedName name="P_PARTNFINISH">'[2]Unit Price Catalog'!$A$172:$C$178</definedName>
    <definedName name="P_PIPEBEDDING">'[2]Unit Price Catalog'!$A$373:$C$373</definedName>
    <definedName name="P_PKGLOT">'[2]Unit Price Catalog'!$A$301:$C$303</definedName>
    <definedName name="P_PLUMBING">'[2]Unit Price Catalog'!$A$211:$C$213</definedName>
    <definedName name="P_ROOF">'[2]Unit Price Catalog'!$A$116:$E$118</definedName>
    <definedName name="P_ROOFCOVER">'[2]Unit Price Catalog'!$A$149:$C$152</definedName>
    <definedName name="P_ROOFEDGE">'[2]Unit Price Catalog'!$A$158:$C$160</definedName>
    <definedName name="P_ROOFINSUL">'[2]Unit Price Catalog'!$A$154:$C$156</definedName>
    <definedName name="P_SANDEXCAV">'[2]Unit Price Catalog'!$A$67:$C$75</definedName>
    <definedName name="P_SEEDING">'[2]Unit Price Catalog'!$A$368:$C$368</definedName>
    <definedName name="P_SEWAGEPIPE">'[2]Unit Price Catalog'!$A$375:$C$375</definedName>
    <definedName name="P_SHRUBS">'[2]Unit Price Catalog'!$A$373:$C$373</definedName>
    <definedName name="P_SIDEWALK">'[2]Unit Price Catalog'!$A$309:$C$311</definedName>
    <definedName name="P_SITEPREP">'[2]Unit Price Catalog'!$A$297:$C$299</definedName>
    <definedName name="P_SOG">'[2]Unit Price Catalog'!$A$87:$C$88</definedName>
    <definedName name="P_SPREADFTG3KSI">'[2]Unit Price Catalog'!$A$6:$C$25</definedName>
    <definedName name="P_SPREADFTG6KSI">'[2]Unit Price Catalog'!$A$27:$C$46</definedName>
    <definedName name="P_STANDPIPE4IN">'[2]Unit Price Catalog'!$A$215:$C$216</definedName>
    <definedName name="P_STANDPIPE6IN">'[2]Unit Price Catalog'!$A$218:$C$219</definedName>
    <definedName name="P_STANDPIPECAB">'[2]Unit Price Catalog'!$A$221:$C$221</definedName>
    <definedName name="P_STEELBEAM">'[2]Unit Price Catalog'!$A$108:$G$110</definedName>
    <definedName name="P_STEELJOIST">'[2]Unit Price Catalog'!$A$100:$G$102</definedName>
    <definedName name="P_STEELSTAIR">'[2]Unit Price Catalog'!$A$120:$C$125</definedName>
    <definedName name="P_STRIPFTG">'[2]Unit Price Catalog'!$A$48:$C$49</definedName>
    <definedName name="P_TREES">'[2]Unit Price Catalog'!$A$367:$C$368</definedName>
    <definedName name="P_WATERPIPE">'[2]Unit Price Catalog'!$A$321:$C$321</definedName>
    <definedName name="PCNTWINDOW">'[2]Design Assumptions'!$E$18</definedName>
    <definedName name="PCS_CCS">'[1]Estimate'!#REF!</definedName>
    <definedName name="PERIMETER">'[2]Design Assumptions'!$E$15</definedName>
    <definedName name="_xlnm.Print_Area" localSheetId="0">' Project Info'!$A$1:$H$30</definedName>
    <definedName name="_xlnm.Print_Area" localSheetId="2">'Basis'!$A$1:$F$31</definedName>
    <definedName name="_xlnm.Print_Area" localSheetId="4">'Breakdown Struc'!$A$1:$G$18</definedName>
    <definedName name="_xlnm.Print_Area" localSheetId="1">'Cover'!$A$1:$C$41</definedName>
    <definedName name="_xlnm.Print_Area" localSheetId="3">'Estimate Summary'!$A$1:$G$119</definedName>
    <definedName name="_xlnm.Print_Titles" localSheetId="4">'Breakdown Struc'!$1:$7</definedName>
    <definedName name="_xlnm.Print_Titles" localSheetId="3">'Estimate Summary'!$1:$4</definedName>
    <definedName name="Project_Location">' Project Info'!$D$7</definedName>
    <definedName name="Project_Name1">' Project Info'!$D$5</definedName>
    <definedName name="Project_Name2">' Project Info'!$D$6</definedName>
    <definedName name="Project_Number">' Project Info'!$D$9</definedName>
    <definedName name="Q">'[1]Estimate'!#REF!</definedName>
    <definedName name="QUANTITY">'[2]Building Cost&amp;Qual Selections'!$I$16:$I$222</definedName>
    <definedName name="Report_Date">' Project Info'!$D$14</definedName>
    <definedName name="Section_1">' Project Info'!$H$14</definedName>
    <definedName name="Section_10">' Project Info'!$H$23</definedName>
    <definedName name="Section_11">' Project Info'!$H$24</definedName>
    <definedName name="Section_12">' Project Info'!$H$25</definedName>
    <definedName name="Section_13">' Project Info'!$H$26</definedName>
    <definedName name="Section_14">' Project Info'!$H$27</definedName>
    <definedName name="Section_15">' Project Info'!$H$28</definedName>
    <definedName name="section_16">' Project Info'!$H$29</definedName>
    <definedName name="Section_17">' Project Info'!$H$30</definedName>
    <definedName name="Section_18">' Project Info'!$H$31</definedName>
    <definedName name="Section_19">' Project Info'!$H$32</definedName>
    <definedName name="Section_2">' Project Info'!$H$15</definedName>
    <definedName name="Section_20">' Project Info'!$H$33</definedName>
    <definedName name="Section_21">' Project Info'!$H$34</definedName>
    <definedName name="Section_22">' Project Info'!$H$35</definedName>
    <definedName name="Section_23">' Project Info'!$H$36</definedName>
    <definedName name="Section_24">' Project Info'!$H$37</definedName>
    <definedName name="Section_25">' Project Info'!$H$38</definedName>
    <definedName name="Section_26">' Project Info'!$H$39</definedName>
    <definedName name="Section_27">' Project Info'!$H$40</definedName>
    <definedName name="Section_28">' Project Info'!$H$41</definedName>
    <definedName name="Section_29">' Project Info'!$H$42</definedName>
    <definedName name="Section_3">' Project Info'!$H$16</definedName>
    <definedName name="Section_30">' Project Info'!$H$61</definedName>
    <definedName name="Section_31">' Project Info'!$H$62</definedName>
    <definedName name="Section_32">' Project Info'!$H$63</definedName>
    <definedName name="Section_33">' Project Info'!$H$64</definedName>
    <definedName name="Section_34">' Project Info'!$H$65</definedName>
    <definedName name="Section_35">' Project Info'!$H$66</definedName>
    <definedName name="Section_36">' Project Info'!$H$67</definedName>
    <definedName name="Section_37">' Project Info'!$H$68</definedName>
    <definedName name="Section_38">' Project Info'!$H$70</definedName>
    <definedName name="Section_39">' Project Info'!$H$71</definedName>
    <definedName name="Section_4">' Project Info'!$H$17</definedName>
    <definedName name="Section_40">' Project Info'!$H$72</definedName>
    <definedName name="Section_41">' Project Info'!$H$73</definedName>
    <definedName name="Section_42">' Project Info'!$H$74</definedName>
    <definedName name="Section_43">' Project Info'!#REF!</definedName>
    <definedName name="Section_44">' Project Info'!$H$75</definedName>
    <definedName name="Section_45">' Project Info'!$H$76</definedName>
    <definedName name="Section_46">' Project Info'!$H$77</definedName>
    <definedName name="Section_47">' Project Info'!$H$78</definedName>
    <definedName name="Section_48">' Project Info'!$H$79</definedName>
    <definedName name="Section_49">' Project Info'!$H$80</definedName>
    <definedName name="Section_5">' Project Info'!$H$18</definedName>
    <definedName name="Section_50">' Project Info'!$H$81</definedName>
    <definedName name="Section_51">' Project Info'!$H$82</definedName>
    <definedName name="Section_52">' Project Info'!$H$83</definedName>
    <definedName name="Section_53">' Project Info'!$H$89</definedName>
    <definedName name="Section_54">' Project Info'!$H$43</definedName>
    <definedName name="Section_55">' Project Info'!$H$44</definedName>
    <definedName name="Section_58">' Project Info'!$H$47</definedName>
    <definedName name="Section_59">' Project Info'!$H$48</definedName>
    <definedName name="Section_6">' Project Info'!$H$19</definedName>
    <definedName name="Section_60">' Project Info'!$H$49</definedName>
    <definedName name="Section_61">' Project Info'!$H$50</definedName>
    <definedName name="Section_62">' Project Info'!$H$51</definedName>
    <definedName name="Section_63">' Project Info'!$H$52</definedName>
    <definedName name="Section_64">' Project Info'!$H$53</definedName>
    <definedName name="Section_65">' Project Info'!$H$54</definedName>
    <definedName name="Section_66">' Project Info'!$H$55</definedName>
    <definedName name="Section_67">' Project Info'!$H$56</definedName>
    <definedName name="Section_68">' Project Info'!$H$57</definedName>
    <definedName name="Section_69">' Project Info'!$H$58</definedName>
    <definedName name="Section_7">' Project Info'!$H$20</definedName>
    <definedName name="Section_70">' Project Info'!$H$59</definedName>
    <definedName name="Section_71">' Project Info'!$H$69</definedName>
    <definedName name="Section_72">' Project Info'!$H$60</definedName>
    <definedName name="Section_73">' Project Info'!$H$84</definedName>
    <definedName name="Section_74">' Project Info'!$H$85</definedName>
    <definedName name="Section_75">' Project Info'!$H$86</definedName>
    <definedName name="Section_8">' Project Info'!$H$21</definedName>
    <definedName name="Section_9">' Project Info'!$H$22</definedName>
    <definedName name="SFFLOOR">'[2]Design Assumptions'!$E$84</definedName>
    <definedName name="SFGROUND">'[2]Design Assumptions'!$E$81</definedName>
    <definedName name="SFPARTITION">'[2]Design Assumptions'!$E$92</definedName>
    <definedName name="SFROOF">'[2]Design Assumptions'!$E$85</definedName>
    <definedName name="SFSOFF">'[2]Design Assumptions'!$E$89</definedName>
    <definedName name="SFSURFACE">'[2]Design Assumptions'!$E$94</definedName>
    <definedName name="SGMS_Number">' Project Info'!$D$9</definedName>
    <definedName name="SITEAREA">'[2]Design Assumptions'!$E$8</definedName>
    <definedName name="SMRY_OF_COSTS">'[2]Function-Cost-Worth Analysis'!$A$7:$J$57</definedName>
    <definedName name="SOFFITAREA">'[2]Design Assumptions'!$E$89</definedName>
    <definedName name="SUMMARY">'[1]Estimate'!#REF!</definedName>
    <definedName name="SUPERSTRUCTURE">'[2]Function-Cost-Worth Analysis'!$H$74:$H$75</definedName>
    <definedName name="SYSTEM_COSTS">'[2]Function-Cost-Worth Analysis'!$B$5:$D$20</definedName>
    <definedName name="t_area">'[2]Construction Cost Summary'!$M$15</definedName>
    <definedName name="t_unitcost">'[2]Construction Cost Summary'!$N$15</definedName>
    <definedName name="TABLE">'[2]Building Cost&amp;Qual Selections'!$A$16:$B$222</definedName>
    <definedName name="team">' Project Info'!$L$21:$M$31</definedName>
    <definedName name="TOTAL_COST">'[2]Building Cost&amp;Qual Selections'!$J$16:$J$222</definedName>
    <definedName name="UNIT">'[2]Building Cost&amp;Qual Selections'!$D$16:$I$222</definedName>
    <definedName name="UNITCOST">'[2]Building Cost&amp;Qual Selections'!$E$16:$E$222</definedName>
    <definedName name="UNPAVEDAREA">'[2]Design Assumptions'!$E$101</definedName>
    <definedName name="WINDOWAREA">'[2]Design Assumptions'!$E$90</definedName>
    <definedName name="WINDOWSIZE">'[2]Design Assumptions'!$E$17</definedName>
    <definedName name="Z_19EB2FC9_E360_4E9C_8976_70166D7C98E7_.wvu.PrintArea" localSheetId="0" hidden="1">' Project Info'!$A$2:$H$30</definedName>
    <definedName name="Z_973C2EE4_873D_4F61_93B6_7EDB66EDFF64_.wvu.PrintArea" localSheetId="0" hidden="1">' Project Info'!$A$1:$H$30</definedName>
    <definedName name="Z_973C2EE4_873D_4F61_93B6_7EDB66EDFF64_.wvu.PrintArea" localSheetId="3" hidden="1">'Estimate Summary'!$A$1:$H$119</definedName>
  </definedNames>
  <calcPr fullCalcOnLoad="1"/>
</workbook>
</file>

<file path=xl/comments6.xml><?xml version="1.0" encoding="utf-8"?>
<comments xmlns="http://schemas.openxmlformats.org/spreadsheetml/2006/main">
  <authors>
    <author>Jack Edwartoski, PE</author>
  </authors>
  <commentList>
    <comment ref="B95" authorId="0">
      <text>
        <r>
          <rPr>
            <b/>
            <sz val="8"/>
            <rFont val="Tahoma"/>
            <family val="0"/>
          </rPr>
          <t>Jack Edwartoski, PE:</t>
        </r>
        <r>
          <rPr>
            <sz val="8"/>
            <rFont val="Tahoma"/>
            <family val="0"/>
          </rPr>
          <t xml:space="preserve">
Changed by GJ</t>
        </r>
      </text>
    </comment>
    <comment ref="D97" authorId="0">
      <text>
        <r>
          <rPr>
            <b/>
            <sz val="8"/>
            <rFont val="Tahoma"/>
            <family val="0"/>
          </rPr>
          <t>Jack Edwartoski, PE:</t>
        </r>
        <r>
          <rPr>
            <sz val="8"/>
            <rFont val="Tahoma"/>
            <family val="0"/>
          </rPr>
          <t xml:space="preserve">
Change by GJ</t>
        </r>
      </text>
    </comment>
    <comment ref="E103" authorId="0">
      <text>
        <r>
          <rPr>
            <b/>
            <sz val="8"/>
            <rFont val="Tahoma"/>
            <family val="0"/>
          </rPr>
          <t>Jack Edwartoski, PE:</t>
        </r>
        <r>
          <rPr>
            <sz val="8"/>
            <rFont val="Tahoma"/>
            <family val="0"/>
          </rPr>
          <t xml:space="preserve">
Total is low because ofsmall scale and fussy work.   I don't think we are going to get out of that room for less than 2000.  Adjust unit  cost accordingly</t>
        </r>
      </text>
    </comment>
    <comment ref="E124" authorId="0">
      <text>
        <r>
          <rPr>
            <b/>
            <sz val="8"/>
            <rFont val="Tahoma"/>
            <family val="0"/>
          </rPr>
          <t>Jack Edwartoski, PE:</t>
        </r>
        <r>
          <rPr>
            <sz val="8"/>
            <rFont val="Tahoma"/>
            <family val="0"/>
          </rPr>
          <t xml:space="preserve">
Allowance agreed upon by GJ and JE</t>
        </r>
      </text>
    </comment>
  </commentList>
</comments>
</file>

<file path=xl/sharedStrings.xml><?xml version="1.0" encoding="utf-8"?>
<sst xmlns="http://schemas.openxmlformats.org/spreadsheetml/2006/main" count="874" uniqueCount="566">
  <si>
    <t>Ga. HVAC - Knoll Cottage</t>
  </si>
  <si>
    <t>Section 71</t>
  </si>
  <si>
    <t>Gb. HVAC - Wilson Room &amp; Carriage House</t>
  </si>
  <si>
    <t xml:space="preserve">Basement: </t>
  </si>
  <si>
    <t>First Floor:</t>
  </si>
  <si>
    <t xml:space="preserve">Walls:  </t>
  </si>
  <si>
    <t>Wash walls (1600 sf surface area distrubuted over 6 rooms)</t>
  </si>
  <si>
    <t>Touch up painted wood trim (50 lf)</t>
  </si>
  <si>
    <t>Repair minor moderate cracks 20 lf</t>
  </si>
  <si>
    <t>Ceiling:</t>
  </si>
  <si>
    <t>Wash ceiling 600 sf area</t>
  </si>
  <si>
    <t>Repair moderate cracks - 20 lf</t>
  </si>
  <si>
    <t>Floor:</t>
  </si>
  <si>
    <t>Soiled VCT - clean, reset 5 sf</t>
  </si>
  <si>
    <t>General Conditions &amp; Fees:  15%</t>
  </si>
  <si>
    <t>Design Contingency:  10%</t>
  </si>
  <si>
    <t>Escalation:  0%</t>
  </si>
  <si>
    <t>Contractor's Bond:  1%</t>
  </si>
  <si>
    <t>Bid Contingency:  5%</t>
  </si>
  <si>
    <t>Construction Contingency:  20%</t>
  </si>
  <si>
    <t>AE &amp; CM Fees:  14%</t>
  </si>
  <si>
    <t>Breakfast Room:  Carefully remove existing painted wall cloth; prep substrate, install new wall cloth; field paint - single color.</t>
  </si>
  <si>
    <t>Wall Cloth with Hand Stenciling in Spanish room</t>
  </si>
  <si>
    <t>Wall Cloth in Stairway (walls); single color field painted</t>
  </si>
  <si>
    <t>Wall Cloth in Breakfast Room - Single color field painted</t>
  </si>
  <si>
    <t>Selective mural conservation</t>
  </si>
  <si>
    <t>Similar scope and severity to Stone floor work above.  Difference is that tile work regrouting is finer work, with fragile and difficult to replace materials in some cases.</t>
  </si>
  <si>
    <t>Miscellaneous repairs to stone floors throughout building.  Assume minor, small, and scattered, but numerous, in a variety of stone types and sizes.  Assume 50 repair areas of 4 sf or less ea.  Scope:  primarily regrout joints (no removal of stones or resetting), except assume 3 of the 50 areas where stone flooring needs to be removed and reset.  assume some sealers required.  Stone floor work generally rustic, wide joints, assume stones are approx 1.5" thk.</t>
  </si>
  <si>
    <t>E. HVAC - Controls</t>
  </si>
  <si>
    <t>F. Refrigeration - Liquor Control Room</t>
  </si>
  <si>
    <t>I. Fire Protection - Kitchen Equipment System</t>
  </si>
  <si>
    <t>H. Fire Protection - Building Systems</t>
  </si>
  <si>
    <t>D. HVAC - Climate Control 2nd &amp; 3rd Floors</t>
  </si>
  <si>
    <t>Section 54</t>
  </si>
  <si>
    <t>Section 55</t>
  </si>
  <si>
    <t>Section 56</t>
  </si>
  <si>
    <t>Section 57</t>
  </si>
  <si>
    <t>English room:  remove damaged plaster &amp; mtl lath;  Install new three coat plaster on mtl lath.</t>
  </si>
  <si>
    <t>Paint for above (entire ceiling)</t>
  </si>
  <si>
    <t>Dining room:  Highly intricate molded plaster ceiling repair:  floral relief work, cast from historic molds (Meadowbrook owns), including hand work to blend new with old.</t>
  </si>
  <si>
    <t>Paint for above (single color), including cleaning of adjacent smoke stained areas to permit paint match.  (intricate cleaning work - likely toothbrushes and q-tips)</t>
  </si>
  <si>
    <t>English Room:  ornamental cornice:  12" deep straight run plaster cornice:  Repair:  remove damaged material; re mold to match existing</t>
  </si>
  <si>
    <t>Matilda's bedroom:  Repair straight run plaster cornice approx 24" high:  Carefully remove existing custom fabric adhered silk on cornice;  remove and relace damaged finish plaster  (assumed shallow repair - complete removal is not required).  See below under "conservation items" for special finishes</t>
  </si>
  <si>
    <t>Spanish  Room:  Carefully remove damaged hand Stenciled adhered wall fabric (cut back to logical straight joint);  carefully remove damaged plaster &amp; mtl lath;  Install new three coat plaster on mtl lath.  (See below for new finish - hand stenciled wall cloth)</t>
  </si>
  <si>
    <t>Stair Hall:  Carefully remove damaged painted single color adhered wall fabric (cut back to logical straight joint); remove damaged plaster (assume superficial damage, and lath and most of base coats are salvageable); repair finish coat with new plaster.  See below for new Wall fabric in stair hall</t>
  </si>
  <si>
    <t>Breakfast Nook:  miscellaneous minor plaster repair - small scattered areas in flat wall areas, + paint</t>
  </si>
  <si>
    <t>English Room:  remove damaged plaster (assume superficial damage, and lath and most of base coats are salvageable); repair finish coat with new plaster.</t>
  </si>
  <si>
    <t>Paint for above - Sponge finish to match existing.</t>
  </si>
  <si>
    <t>Paint for above - Add for entire room</t>
  </si>
  <si>
    <t>Matilda's Bedroom:  carefully remove stretched silk wall fabric.  Repair plaster finish (assumed superficial damage).  See  "conservation items" below for special finish</t>
  </si>
  <si>
    <t>Windows:</t>
  </si>
  <si>
    <t>Refinish clear finished oak jambs at 20 windows (1' x 2.5')</t>
  </si>
  <si>
    <t>Refinish painted wood jambs at 8 windows (1' x 2.5')</t>
  </si>
  <si>
    <t>Doors:</t>
  </si>
  <si>
    <t>Refinish exterior surface of one oak door (strip, sand, clear finish)</t>
  </si>
  <si>
    <t>Exterior:</t>
  </si>
  <si>
    <t>New Cedar shingle roof:  Remove existing cedar roof, replace damaged sheathing (assume 50 sf) with new spaced 1x boards;  replace rotted rafters (assume 2x10, total of 25 lf)  treat attic for mold.  Install new cedar roof over cedar breather; provide concealed ridge and soffit vents, terne coated stainless flashings.  Note:  Existing gutters and downspouts in vary good condition:  no work except tightening up a few loose downspout joints.</t>
  </si>
  <si>
    <t>J. Exterior - Knoll Cottage</t>
  </si>
  <si>
    <t>K. Exterior - Bridge</t>
  </si>
  <si>
    <t>H. Grounds - Equipment Purchase</t>
  </si>
  <si>
    <t>Stair Hall:  New molded plaster medallion in stair hall on repaired flat plaster (see below for flat work) (cost based on strand theater larger, less complex medallion.  Cost reduced to take into account size &amp; complexity of this item.</t>
  </si>
  <si>
    <t>Paint for above</t>
  </si>
  <si>
    <t>Tile Work</t>
  </si>
  <si>
    <t>No Written Scope Provided</t>
  </si>
  <si>
    <t>Repair Tile and re-grout</t>
  </si>
  <si>
    <t>E. Fire Protection System</t>
  </si>
  <si>
    <t>J. Plumbing Fixtures</t>
  </si>
  <si>
    <t>I. Convert Steam to Hot Water</t>
  </si>
  <si>
    <t>Included with BRICK MASONRY, PARAPETS, COPING AND STONEWORK above.</t>
  </si>
  <si>
    <t>Replace double doors to Loggia Terrace (these are the large arched wood framed windows/doors that are in the snack shop, which used to be an open terrace).  Three options below:</t>
  </si>
  <si>
    <t>Walls:  Plaster/painted.  moderate soiling - clean 300 sf.  50 sf plaster repair (1 location)</t>
  </si>
  <si>
    <t>Ceiling:  Plaster/painted.  Moderate soiling - clean 150 sf.  10 sf plaster repair (1 location).</t>
  </si>
  <si>
    <t>Room 116</t>
  </si>
  <si>
    <t>Room 117 - Breakfast Nook</t>
  </si>
  <si>
    <t>Walls - Miscellaneous minor plaster repair - small scattered areas in flat wall areas, + paint</t>
  </si>
  <si>
    <t>Room 126/127 - Wilson Room</t>
  </si>
  <si>
    <t>Scope:  gut existing rectangular 8 x 20 room, remove plbg fixtures; remove exist tile wainscot; demo 20 lf of cmu wall to provide expansion into adjacent 8' x 20' space.  Selective demo of existing conc. Slab-on-grade;  Re route underfloor plumbing lines, patch conc slab on grade; Provide new 8' x 16'  conc floor over on steel deck over existing crawl space. New high end plumbing fixtures and accessories; undermount sinks, polished stone floors, stone countertop.  Counter to ceiling mirror + 1 full length mirror.  Period light fixtures.  Four stalls,  four lavs.  Each water closet to be in a "room" with a louvered door.</t>
  </si>
  <si>
    <t>Room 12 - Spanish Room</t>
  </si>
  <si>
    <t>Add this to the current work scope for this room:</t>
  </si>
  <si>
    <t>Walls:  Carefully remove damaged hand Stenciled adhered wall fabric (cut back to logical straight joint);  carefully remove damaged plaster &amp; mtl lath;  Install new three coat plaster on mtl lath.  (See below for new finish - hand stenciled wall cloth)</t>
  </si>
  <si>
    <t>New Wall Cloth with Hand Stenciling to match existing</t>
  </si>
  <si>
    <t>Room 12A</t>
  </si>
  <si>
    <t>Rehabilitate 100 sf single occupancy toilet room and expand into adjacent 50 sf space to yield a very high-end bride's bathroom.  Scope:  Demo exist concrete slab-on-grade, Demo approx 10 lf of exist 10' high cmu walls, remove exist plumbing fixtures;  New work:  reroute plumbing (existing plumbing is available in the area) to new fixture locations, so underslab work must be assumed.  Level of finish is to be luxury level:  Assume separate "room" for water closet with louvered door.  Marble wainscot, polished stone floors, marble countertops, undermount sinks, high end fixtures and accessories, high end period lighting.  counter to ceiling mirror + 1 full length mirror.  Facility must be accessible to disabled persons.  Irregularly shaped plan, and work is adjacent to highly significant architecural spaces, so careful work will be required.</t>
  </si>
  <si>
    <t>Room 13 - Ballroom</t>
  </si>
  <si>
    <t>General:  Existing wood floor cannot be sanded any more, still needs protection.  Size:  22' x 42'</t>
  </si>
  <si>
    <t>Pd. Subgrade Utility Under Courtyard</t>
  </si>
  <si>
    <t>Q. Room Renovations</t>
  </si>
  <si>
    <t>General:  Major update and expansion of existing Woman's bathroom.  Existing bathroom 8' x 20'.  New batroom to be 16' x 20.'  Intent is to make restroom suitable for use at weddings and similar events. Must be accessible to disabled individuals.  Level of finishes - Luxury.</t>
  </si>
  <si>
    <t>SmithGroup</t>
  </si>
  <si>
    <t>PROJECT INFORMATION</t>
  </si>
  <si>
    <t>Jonathan Moss</t>
  </si>
  <si>
    <t>Estimate Stage</t>
  </si>
  <si>
    <t>Initial</t>
  </si>
  <si>
    <t>Project Name 1</t>
  </si>
  <si>
    <t>Lead Estimator</t>
  </si>
  <si>
    <t>John Simpson</t>
  </si>
  <si>
    <t>Conceptual Study</t>
  </si>
  <si>
    <t>Schematic Design</t>
  </si>
  <si>
    <t>Jack Edwartosky</t>
  </si>
  <si>
    <t>JE</t>
  </si>
  <si>
    <t>Project Name 2</t>
  </si>
  <si>
    <t>Estimator 1</t>
  </si>
  <si>
    <t>Cost Model</t>
  </si>
  <si>
    <t>Jehana Jalil</t>
  </si>
  <si>
    <t>JJ</t>
  </si>
  <si>
    <t>Project City, State</t>
  </si>
  <si>
    <t>Estimator 2</t>
  </si>
  <si>
    <t>John Murray</t>
  </si>
  <si>
    <t>Design Development</t>
  </si>
  <si>
    <t>Jenny Young</t>
  </si>
  <si>
    <t>JY</t>
  </si>
  <si>
    <t>Estimator 3</t>
  </si>
  <si>
    <t>Consultant</t>
  </si>
  <si>
    <t>Construction Document</t>
  </si>
  <si>
    <t>JM</t>
  </si>
  <si>
    <t>Estimator 4</t>
  </si>
  <si>
    <t>JS</t>
  </si>
  <si>
    <t>Project Number</t>
  </si>
  <si>
    <t>JTM</t>
  </si>
  <si>
    <t>Ken Pang</t>
  </si>
  <si>
    <t>KP</t>
  </si>
  <si>
    <t>Estimate Type</t>
  </si>
  <si>
    <t>Salam Farjo</t>
  </si>
  <si>
    <t>SF</t>
  </si>
  <si>
    <t>Conceptual Budget</t>
  </si>
  <si>
    <t>Con</t>
  </si>
  <si>
    <t>Report Date</t>
  </si>
  <si>
    <t>Cost Plan</t>
  </si>
  <si>
    <t>Conceptual/SD/DD</t>
  </si>
  <si>
    <t>Cost Check</t>
  </si>
  <si>
    <t>DD/CD</t>
  </si>
  <si>
    <t>Bid Date</t>
  </si>
  <si>
    <t>Cost Estimate</t>
  </si>
  <si>
    <t>90% CD/Pre Bid Estimate</t>
  </si>
  <si>
    <t>Construction Period</t>
  </si>
  <si>
    <t>Client Contact Name</t>
  </si>
  <si>
    <t>Pb. Garage</t>
  </si>
  <si>
    <t>Pa. Knoll Cottage</t>
  </si>
  <si>
    <t>Pc. Carriage House</t>
  </si>
  <si>
    <t>Carriage House</t>
  </si>
  <si>
    <t>Not addressed</t>
  </si>
  <si>
    <t>Floor Protection</t>
  </si>
  <si>
    <t>Stanchions, Signs</t>
  </si>
  <si>
    <t>Budget</t>
  </si>
  <si>
    <t>Client Country</t>
  </si>
  <si>
    <t>Client Phone</t>
  </si>
  <si>
    <t>Client Fax</t>
  </si>
  <si>
    <t>Client E-mail</t>
  </si>
  <si>
    <t>A. Construction:</t>
  </si>
  <si>
    <t xml:space="preserve"> </t>
  </si>
  <si>
    <t>EA</t>
  </si>
  <si>
    <t>Used for :</t>
  </si>
  <si>
    <t>Descriptions</t>
  </si>
  <si>
    <t>Remarks</t>
  </si>
  <si>
    <t>Estimating Team Member</t>
  </si>
  <si>
    <t>Alistair Law</t>
  </si>
  <si>
    <t>AL</t>
  </si>
  <si>
    <t>Frank Fields</t>
  </si>
  <si>
    <t>FF</t>
  </si>
  <si>
    <t>Cost Study</t>
  </si>
  <si>
    <t>Linked Cells</t>
  </si>
  <si>
    <t xml:space="preserve">Linked Cell Names </t>
  </si>
  <si>
    <r>
      <t>Smith</t>
    </r>
    <r>
      <rPr>
        <b/>
        <sz val="14"/>
        <color indexed="21"/>
        <rFont val="Times New Roman"/>
        <family val="1"/>
      </rPr>
      <t>Group</t>
    </r>
  </si>
  <si>
    <t>QTY</t>
  </si>
  <si>
    <t>REPORT INFORMATION</t>
  </si>
  <si>
    <t>Section 1</t>
  </si>
  <si>
    <t>Section 2</t>
  </si>
  <si>
    <t>Section 3</t>
  </si>
  <si>
    <t>Section 4</t>
  </si>
  <si>
    <t>Section 5</t>
  </si>
  <si>
    <t>500 Griswold, Suite 200</t>
  </si>
  <si>
    <t>Detroit</t>
  </si>
  <si>
    <t>MI</t>
  </si>
  <si>
    <t>Section 6</t>
  </si>
  <si>
    <t>Section 7</t>
  </si>
  <si>
    <t>Section 8</t>
  </si>
  <si>
    <t>Estimator 3 (Mech)</t>
  </si>
  <si>
    <t>Estimator 2 (Elect)</t>
  </si>
  <si>
    <t/>
  </si>
  <si>
    <t>Glascock &amp; Garnes</t>
  </si>
  <si>
    <t>Kevin Oliveira</t>
  </si>
  <si>
    <t>KO</t>
  </si>
  <si>
    <t>G&amp;G</t>
  </si>
  <si>
    <t>KS</t>
  </si>
  <si>
    <t>Khalid Suhail</t>
  </si>
  <si>
    <t>USA</t>
  </si>
  <si>
    <t xml:space="preserve">Proj. No.: </t>
  </si>
  <si>
    <t>Date:</t>
  </si>
  <si>
    <t>Project Name:</t>
  </si>
  <si>
    <t>Classification:</t>
  </si>
  <si>
    <t>Project Location:</t>
  </si>
  <si>
    <t>Bid Date:</t>
  </si>
  <si>
    <t>Estimate Type:</t>
  </si>
  <si>
    <t>Gross Area SF:</t>
  </si>
  <si>
    <t>N/A</t>
  </si>
  <si>
    <t>ITEM</t>
  </si>
  <si>
    <t>New Silk wall coverings over entire room:  custom woven silk damask fabric to match existing EXACTLY in color and pattern, stretched over frame.  It will be impossible to match existing in damaged area  above due to differential fading, so  whole room is indicated here.  Also, New silk cornice cover:  custom woven to match existing, and Cornice finishes:  metallic gold paint</t>
  </si>
  <si>
    <t>Room 217 - English Room</t>
  </si>
  <si>
    <t>Cornice:  ornamental cornice:  12" deep straight run plaster cornice:  Repair:  remove damaged material; re mold to match existing</t>
  </si>
  <si>
    <t>Paint for above (single color)</t>
  </si>
  <si>
    <t>Ceiling: remove damaged plaster &amp; mtl lath;  Install new three coat plaster on mtl lath.</t>
  </si>
  <si>
    <t>Walls:  remove damaged plaster (assume superficial damage, and lath and most of base coats are salvageable); repair finish coat with new plaster.</t>
  </si>
  <si>
    <t>Paint for above - sponge finish - entire room</t>
  </si>
  <si>
    <t>The following should be listed under the heading "Room Renovations"</t>
  </si>
  <si>
    <t>OU cost from vendor</t>
  </si>
  <si>
    <t>Kitchen Refrigerators</t>
  </si>
  <si>
    <t>4 Existing tile lined custom refrigerators:  1 @ 5' x 15', 3@4' x 8'</t>
  </si>
  <si>
    <t>Compressors, etc. are new - no work needed on them.</t>
  </si>
  <si>
    <t>n/a</t>
  </si>
  <si>
    <t>Remove existing white tile, cork backup, walls.  Rebuild custom with new walls, stainless steel lining, at walls and ceilings, insulation, vapor barriers.  Reconnect to existing compressors.  New lighting.</t>
  </si>
  <si>
    <t>Restrooms for Tents</t>
  </si>
  <si>
    <t>New freestanding restroom facility not connected to mansion  Large facility.  This number is from OU, obtained from an Architect.</t>
  </si>
  <si>
    <t>Kitchen for Tents</t>
  </si>
  <si>
    <t>New freestanding Kitchen building not connected to mansion.  Full kitchen.  This number is from OU, obtained from an Architect.</t>
  </si>
  <si>
    <t>Kitchen Upgrades (in Mansion)</t>
  </si>
  <si>
    <t>Existing 22 x 25 kitchen in house.  Replace all appliances, hoods, etc.  Commercial appliances.  OU has estimate from kitchen specialists of $840,000</t>
  </si>
  <si>
    <t>New second tent off Sun Porch</t>
  </si>
  <si>
    <t>Pad for above</t>
  </si>
  <si>
    <t>Upgrade existing tent</t>
  </si>
  <si>
    <t>Replace existing tent pad.</t>
  </si>
  <si>
    <t>Upgrade lighting (new off-the-shelf fixtures, flexible controls)</t>
  </si>
  <si>
    <t>5 new display cabinets (custom, wood with glass, internally lit, high quality materials and finishes, approx 2' x 4 x 7 feet high.).</t>
  </si>
  <si>
    <t>Paint walls</t>
  </si>
  <si>
    <t>Paint Ceiling</t>
  </si>
  <si>
    <t>Touch up stain on wood trim. Assume 6" wide profiled boards scattered locations</t>
  </si>
  <si>
    <t>locations</t>
  </si>
  <si>
    <t>Misc. minor flat plaster repair (minor crack repairs)</t>
  </si>
  <si>
    <t>Room 130 - Floral Room:</t>
  </si>
  <si>
    <t>Room is 12' x 15'.  New walk-in flower cooler with glass doors (approx 8' x 8').  New custom base cabinets, L-shaped in plan (12' x 10'), 42" H, 3' deep.  High Pressure plastic laminate doors and shelves, solid surface countertop.  New lighting (fluorescent, color corrected).  New heavy duty sheet vinyl floor.  Paint walls and ceiling.</t>
  </si>
  <si>
    <t>Room 214- Matilda's Room</t>
  </si>
  <si>
    <t>Plaster cornice:  Repair straight run plaster cornice approx 24" high:  Carefully remove existing custom fabric adhered silk on cornice;  remove and relace damaged finish plaster  (assumed shallow repair - complete removal is not required).</t>
  </si>
  <si>
    <t xml:space="preserve">Walls:  carefully remove stretched silk wall fabric.  Repair plaster finish (assumed superficial damage).  </t>
  </si>
  <si>
    <t>Mechanical Changes A through I</t>
  </si>
  <si>
    <t>Grounds Changes A and J</t>
  </si>
  <si>
    <t>J. Rose Garden</t>
  </si>
  <si>
    <t>Concept</t>
  </si>
  <si>
    <t>Parametric Budget</t>
  </si>
  <si>
    <t>SEE Above</t>
  </si>
  <si>
    <t>D. Site Acquisition:</t>
  </si>
  <si>
    <t>E. Reservations:</t>
  </si>
  <si>
    <t>NONE</t>
  </si>
  <si>
    <t>Total Recommended Construction Cost</t>
  </si>
  <si>
    <t>Architectural Changes A through Q</t>
  </si>
  <si>
    <t>Reglaze 14 windows (new glazing compound)</t>
  </si>
  <si>
    <t>Replace 20 lf of exterior painted wood trim - 1 x 4.</t>
  </si>
  <si>
    <t>Add soffit ventilation (custom detail); add gable vents (brick vents)</t>
  </si>
  <si>
    <t>Site:</t>
  </si>
  <si>
    <t>Reset sand-set 2' x 2' pavers - total 100 sf</t>
  </si>
  <si>
    <t xml:space="preserve">    Paint for above (single color)</t>
  </si>
  <si>
    <t>Flat plaster ceiling repair:</t>
  </si>
  <si>
    <t>Stair Hall:  Remove damaged plaster &amp; mtl lath, install new three-coat plaster on metal lath.paint</t>
  </si>
  <si>
    <t xml:space="preserve">Dining room:  Remove loose flat plaster down to sound matl.  Leave existing lath. Patch with plaster.  </t>
  </si>
  <si>
    <t>Spanish room: remove damaged plaster &amp; mtl lath;  Install new three coat plaster on mtl lath.</t>
  </si>
  <si>
    <t>Option One:  Remove and Replace one pair of 3' -0" x 6'-8" wood french doors with new in existing frames; replace threshold with new bronze; miscellaneous wood repairs at fram and at other three arched opening infills.</t>
  </si>
  <si>
    <t>Option Two:  Remove existing full-opening wood window/door infills at three existing openings; replace with three pairs of new custom wood framed wood full opening arched doors 4' x 8' half arched leaves.  Insul glazing</t>
  </si>
  <si>
    <t>Option three:  As Opt. 2 above, but steel framed Hopes/Crittall type doors.  Insul glass</t>
  </si>
  <si>
    <t xml:space="preserve">Restore all exterior doors/hardware:  Assume 15 exterior doors Total.  Typical assumed treatment at all doors:  adjust hardware: lubricate, tighten screws, weatherstrip, Adjust/resecure threshold.  </t>
  </si>
  <si>
    <t>Additional work at 7 of the above 15 doors: refinish exterior surface (strip, sand, some minor reattachment of veneers clear/stain).</t>
  </si>
  <si>
    <t>Additional work at 10 of the above 15 doors:  replace screening (use bronze screen material);</t>
  </si>
  <si>
    <t>Restore leaded Glass:  OU has a number for this from their stained glass specialist.</t>
  </si>
  <si>
    <t>Replace Screens (bronze screening material) at 250 out of 500 total windows</t>
  </si>
  <si>
    <t>Repair at 250 of 500 total windows:  windows are steel with custom operating hardware, including sliding arms, hold-open arms, etc.  Assumed typical treatment:solvent/chemical removal of paint accumulation, dried lubricants, paint, etc. lubrication, some physical bending to restore full operation.  Clean paint from frames, weatherstrip (?); repaint interior and exterior.</t>
  </si>
  <si>
    <t>Clean rust from south facing monumental windows in rooms 101, 102; repaint.  Assume 2" x 2 inch mullion</t>
  </si>
  <si>
    <t>Epoxy repairs:  Remove existing rotted timber matl to sound wood; clean debris from behind, prep surfaces, rebuild missing material with epoxy putty, sculpt surface for rustic appearance;  assume typical section is 8" x 8"</t>
  </si>
  <si>
    <t>Dutchman repairs:  Remove existing rotted timber matl to sound wood; clean debris from behind, prep joint to be tight &amp; uniform.carefully cut new dutchman to fit tightly; epoxy in place.  Hand distress to match rustic appearance</t>
  </si>
  <si>
    <t>Miscellaneous wood repairs, caulking etc. related to above.</t>
  </si>
  <si>
    <t>Painting</t>
  </si>
  <si>
    <t>Stucco Repair</t>
  </si>
  <si>
    <t>(NOTE: I changed this category to include all masonry work, and therefore deleted the "chimneys" item below</t>
  </si>
  <si>
    <t>Brick repointing - walls</t>
  </si>
  <si>
    <t>Brick repointing - chimneys</t>
  </si>
  <si>
    <t>Minor brick replacement - chimneys</t>
  </si>
  <si>
    <t>Brick Cleaning - General</t>
  </si>
  <si>
    <t>Brick Cleaning - Lime stains</t>
  </si>
  <si>
    <t>Brick Cleaning - Algae</t>
  </si>
  <si>
    <t>Stone Repointing: repointing and sealants at copings</t>
  </si>
  <si>
    <t>Miscellaneous stone repointing (around windows, etc.)</t>
  </si>
  <si>
    <t>NOTE:  OU is getting quotes from George Frisch on this work, which will be much more reliable than our numbers, since they have familiarity with the work.  Their number should be plugged in here</t>
  </si>
  <si>
    <t>Verify if Frisch's number includes cleaning</t>
  </si>
  <si>
    <t>Foundation &amp; Structural Repairs:</t>
  </si>
  <si>
    <t>Below grade foundation Drainage:  Test/inspect underground foundation drainage system that roof leaders are connected to to ensure if they are free flowing and draining;  rod out IF REQUIRED (some may be required)</t>
  </si>
  <si>
    <t>Area wells: Clean and inspect.  Determine if they have drains; test/inspect to determine if functional.  Clean/rod out IF REQUIRED  ( some will likely be required)</t>
  </si>
  <si>
    <t>Repoint interior of foundation walls:  brick walls:  rake out, repoint.</t>
  </si>
  <si>
    <t>(Comment:  there may be a groundwater issue based on what we saw in the boiler room (rising damp), and the "frog hole," suggesting a failure or blockage of the foundation drainage system.)</t>
  </si>
  <si>
    <t>F. Grounds - Woodland Entrance</t>
  </si>
  <si>
    <t>G. Grounds - Parking Lots</t>
  </si>
  <si>
    <t>O. Interior - Tile Work</t>
  </si>
  <si>
    <t>N. Interior - Stone Floors</t>
  </si>
  <si>
    <t>M. Interior - Plaster Walls</t>
  </si>
  <si>
    <t>L. Interior - Carved Plaster Ceiling</t>
  </si>
  <si>
    <t>A. Plumbing - New HW Heater</t>
  </si>
  <si>
    <t>C. HVAC - Climate Control, Ground &amp; 1st Floors</t>
  </si>
  <si>
    <t>Grounds:</t>
  </si>
  <si>
    <t>I. Tent Pad - Replace Asphalt Paving</t>
  </si>
  <si>
    <t>CONSTRUCTION COST SUMMARY</t>
  </si>
  <si>
    <t>Oakland University</t>
  </si>
  <si>
    <t>Rochester, Michigan</t>
  </si>
  <si>
    <t>Kevin Shultis</t>
  </si>
  <si>
    <t>(313) 442-8318</t>
  </si>
  <si>
    <t>Kevin.Shultis@smithgroup.com</t>
  </si>
  <si>
    <t>Electrical Changes A and D</t>
  </si>
  <si>
    <t>The following documentation was used in preparation of this Budget Cost Estimate:</t>
  </si>
  <si>
    <t>Floor Plans dated 1-22-73</t>
  </si>
  <si>
    <t>Site Walk-around</t>
  </si>
  <si>
    <t>Discussions with Facilities Staff</t>
  </si>
  <si>
    <t>Meadow Brook Hall Renovations</t>
  </si>
  <si>
    <t>Discussions with SG Project Architects and Engineers.</t>
  </si>
  <si>
    <t>The work required by this Project will be cooordinated and facilitated by a Construction Manager, separately contracted to Oakland University.</t>
  </si>
  <si>
    <t>Where possible, pricing parameters are spelled-out in the "Breakdown" sections of the estimate backup.  When necessary, Lump Sum Allowances are used and will be in those sections too.</t>
  </si>
  <si>
    <t xml:space="preserve">This estimate has been based on a closed bid situation with a limited number of general and sub contractors performing the work. Experience indicates that the fewer number of bidders will result in higher bids compared to new work..  </t>
  </si>
  <si>
    <t>Solid wood timbers, 6" x 6" to 8" x 8", hand distressed for rustic appearance, pegged joints:  Remove timber, replace with new.  See stucco repair and painting below</t>
  </si>
  <si>
    <t>Faux wood timber facings:  full 2" x 8" (actual dimension), custom milled, hand distressed for rustic appearance, pegged joints.  Remove existing; remove bird refuse behind; install new.  See stucco repair and painting below</t>
  </si>
  <si>
    <t>Wood soffits at item A.2: 5/4 x 10 wood boards.  Remove existing, remove bird refuse behind; install new.  See painting below</t>
  </si>
  <si>
    <t>DESCRIPTION</t>
  </si>
  <si>
    <t>U.P.</t>
  </si>
  <si>
    <t>TOTALS</t>
  </si>
  <si>
    <t>This estimate incorporates the following areas:</t>
  </si>
  <si>
    <t>We would be pleased to discuss these costs further with you at your convenience.</t>
  </si>
  <si>
    <t>Sincerely,</t>
  </si>
  <si>
    <t>Enclosures</t>
  </si>
  <si>
    <t>BASIS OF COST ESTIMATE</t>
  </si>
  <si>
    <t>The pricing is based on the following general conditions of construction:</t>
  </si>
  <si>
    <t>The contractor will be required to pay prevailing wages</t>
  </si>
  <si>
    <t>This work to be done concurrent with the base project scope.</t>
  </si>
  <si>
    <t>Project Quantity</t>
  </si>
  <si>
    <t>LF</t>
  </si>
  <si>
    <t>Section 9</t>
  </si>
  <si>
    <t>Section 10</t>
  </si>
  <si>
    <t>Section 11</t>
  </si>
  <si>
    <t>Section 12</t>
  </si>
  <si>
    <t>Section 13</t>
  </si>
  <si>
    <t>Section 14</t>
  </si>
  <si>
    <t>Section 15</t>
  </si>
  <si>
    <t>Change door heights (8'-10" to 7'-0")</t>
  </si>
  <si>
    <t>Section 16</t>
  </si>
  <si>
    <t>Section 17</t>
  </si>
  <si>
    <t>Section 18</t>
  </si>
  <si>
    <t>Section 19</t>
  </si>
  <si>
    <t>Section 20</t>
  </si>
  <si>
    <t>Section 21</t>
  </si>
  <si>
    <t>Section 22</t>
  </si>
  <si>
    <t xml:space="preserve">Lightweight fill: 4" </t>
  </si>
  <si>
    <r>
      <t>Smith</t>
    </r>
    <r>
      <rPr>
        <b/>
        <sz val="14"/>
        <color indexed="21"/>
        <rFont val="Arial"/>
        <family val="2"/>
      </rPr>
      <t>Group</t>
    </r>
  </si>
  <si>
    <t>Section 32</t>
  </si>
  <si>
    <t>Section 43</t>
  </si>
  <si>
    <t>Section 23</t>
  </si>
  <si>
    <t>Section 24</t>
  </si>
  <si>
    <t>Section 25</t>
  </si>
  <si>
    <t>Section 26</t>
  </si>
  <si>
    <t>Section 27</t>
  </si>
  <si>
    <t>Section 28</t>
  </si>
  <si>
    <t>Section 29</t>
  </si>
  <si>
    <t>Section 30</t>
  </si>
  <si>
    <t>Section 31</t>
  </si>
  <si>
    <t>Section 33</t>
  </si>
  <si>
    <t>Section 34</t>
  </si>
  <si>
    <t>Section 35</t>
  </si>
  <si>
    <t>Section 36</t>
  </si>
  <si>
    <t>Section 37</t>
  </si>
  <si>
    <t>Section 39</t>
  </si>
  <si>
    <t>Section 40</t>
  </si>
  <si>
    <t>Section 41</t>
  </si>
  <si>
    <t>Section 42</t>
  </si>
  <si>
    <t>Section 44</t>
  </si>
  <si>
    <t>Section 45</t>
  </si>
  <si>
    <t>Section 46</t>
  </si>
  <si>
    <t>Section 47</t>
  </si>
  <si>
    <t>Section 48</t>
  </si>
  <si>
    <t>Section 49</t>
  </si>
  <si>
    <t>Mechanical:</t>
  </si>
  <si>
    <t>Electrical:</t>
  </si>
  <si>
    <t>Architectural:</t>
  </si>
  <si>
    <t>ARCH</t>
  </si>
  <si>
    <t>MECH</t>
  </si>
  <si>
    <t>ELECT</t>
  </si>
  <si>
    <t>LOC</t>
  </si>
  <si>
    <t>Cylinder Retainers</t>
  </si>
  <si>
    <t>LS</t>
  </si>
  <si>
    <t>Director of Facility Economics</t>
  </si>
  <si>
    <t>Jack Edwartoski, PE</t>
  </si>
  <si>
    <t>A. Exterior - Wood Half-timbers</t>
  </si>
  <si>
    <t>B. Exterior - Parapets, Copings and Stonework</t>
  </si>
  <si>
    <t>C. Exterior - Roof</t>
  </si>
  <si>
    <t>D. Exterior - Foundation &amp; Structural Repairs</t>
  </si>
  <si>
    <t>E. Exterior - Gutters</t>
  </si>
  <si>
    <t>F. Exterior - Chimneys</t>
  </si>
  <si>
    <t>G. Exterior - Doors</t>
  </si>
  <si>
    <t>H. Exterior - Windows</t>
  </si>
  <si>
    <t>I. Exterior - Limestone around windows</t>
  </si>
  <si>
    <t>A. Electrical - Upgrades &amp; Repairs</t>
  </si>
  <si>
    <t>B. Electrical - Lighting &amp; Controls</t>
  </si>
  <si>
    <t>C. Electrical - Emergency Generator</t>
  </si>
  <si>
    <t>D. Electrical - Security System</t>
  </si>
  <si>
    <t>GROUNDS</t>
  </si>
  <si>
    <t>Section 50</t>
  </si>
  <si>
    <t>Section 51</t>
  </si>
  <si>
    <t>Section 52</t>
  </si>
  <si>
    <t>Section 53</t>
  </si>
  <si>
    <t>A. Grounds - Stone Walk</t>
  </si>
  <si>
    <t>B. Grounds - Pegasus Fountain</t>
  </si>
  <si>
    <t>C. Grounds - Gazebo Fountain</t>
  </si>
  <si>
    <t>D. Grounds - Gazebo Steps</t>
  </si>
  <si>
    <t>E. Grounds - Gazebo Interior</t>
  </si>
  <si>
    <t>Highly sophisticated tents, with elaborate interior finishes, floors.  Costs for the 4 items above are from tent suppliers and are reliable.</t>
  </si>
  <si>
    <t>The following should be a separate heading:</t>
  </si>
  <si>
    <t>Allowances to Accommodate Wall/Ceiling Repairs to accommodate Steam piping replacement.</t>
  </si>
  <si>
    <t>Allowance for wall channeling and repairs to accommodate steam piping removal and replacement.  Assume 300 locations, each 10' long vertical removal/repairs.  Of these, assume 50% are in standard painted plaster walls, 30% are in special painted walls (ragged or sponge paint over canvas), and 20% are in walls with special architectural finishes (Natural wood paneling, stretched silk)</t>
  </si>
  <si>
    <t>Allowance for Ceiling channeling and repairs to accommodate steam piping removal and replacement.   Assume 300 lf.  Of that, assume that 70% is in standard painted plaster ceilings, and 30% is in plaster ceilings with special textured finishes between ornamental carved wood beams approx 10' o.c.  Assume beams will stay in place and plaster strips will  be removed between beams, and pipes will be removed and re-fed over beams.</t>
  </si>
  <si>
    <t>Client Company Name</t>
  </si>
  <si>
    <t>Client Address 1</t>
  </si>
  <si>
    <t>Client Address 2</t>
  </si>
  <si>
    <t>Client City</t>
  </si>
  <si>
    <t>Client State</t>
  </si>
  <si>
    <t>Client Zip</t>
  </si>
  <si>
    <t>Project Costs and Risk Factors</t>
  </si>
  <si>
    <t>Section 63</t>
  </si>
  <si>
    <t>Section 64</t>
  </si>
  <si>
    <t>Section 65</t>
  </si>
  <si>
    <t>Section 66</t>
  </si>
  <si>
    <t>Section 67</t>
  </si>
  <si>
    <t>Section 68</t>
  </si>
  <si>
    <t>Section 69</t>
  </si>
  <si>
    <t>Section 70</t>
  </si>
  <si>
    <t>G. Wilson Room</t>
  </si>
  <si>
    <t>E. Knoll Cottage</t>
  </si>
  <si>
    <t>F. Carriage House</t>
  </si>
  <si>
    <t>total</t>
  </si>
  <si>
    <t>B. Mechanical - Update Steam Distribution System</t>
  </si>
  <si>
    <t>Chemically strip, lightly hand sand, new polyurethane varnish finish</t>
  </si>
  <si>
    <t>New custom woven rug.  Assume woven to size 16' x 36',  pile carpet, detailed repeating patern in center, border.</t>
  </si>
  <si>
    <t>Room 24 - Men's Toilet Room</t>
  </si>
  <si>
    <t>General:  Major update and expansion of existing men's bathroom, and hallway leading to it.  Bathroom and hallway leading to it are currently utilitarian. Existing bathroom 8' x 23'.  Intent is to make the route and restroom suitable for use at weddings and similar events. Must be accessible to disabled individuals.  Level of finishes - high end.</t>
  </si>
  <si>
    <t>Scope:</t>
  </si>
  <si>
    <t>Vestibule:  Two 10' cmu walls (16 lf), with plaster finish with one custom wood rail and stile door to form vestibule with two existing walls.  Single period wall sconce.</t>
  </si>
  <si>
    <t>Hallway:7' x 23' hallway - provide new plaster wall finish, wood wainscot, 2 custom rail and stile doors; one 4' x 10' high plaster on stud partition with 1 custom rail and stile door, new stone flooring, 4 period wall sconces.  Switching.  Plaster ceiling.</t>
  </si>
  <si>
    <t>Restroom:  gut existing rectangular 8 x 23 room, remove plbg fixtures; remove exist tile wainscot; demo 15 lf of cmu wall to provide expansion into adjacent 10' x 15' space.  Selective demo of existing conc. Slab-on-grade;  Re route underfloor plumbing lines, patch conc slab on grade; new high end plumbing fixtures and accessories; undermount sinks, polished stone floors, stone countertop.  Counter to ceiling mirror + 1 full length mirror.  Period light fixtures.  Two stalls, two urinals, four lavs.Each water closet to be in a "room" with a louvered door.</t>
  </si>
  <si>
    <t>Room 104A</t>
  </si>
  <si>
    <t>New work description</t>
  </si>
  <si>
    <t>Recommend</t>
  </si>
  <si>
    <t>B. Design and Review:</t>
  </si>
  <si>
    <t>C. Mangmt. &amp; Insp. Construction:</t>
  </si>
  <si>
    <t>Roof:  replace back half (15' x 100') - custom clay tile.  Simple roof - one side of gable roof.  Salvage existing slate for reuse for repairs on house.</t>
  </si>
  <si>
    <t>Exterior:  100 sf brick repointing</t>
  </si>
  <si>
    <t>Interior:  Paint timber truss plates.</t>
  </si>
  <si>
    <t>Clean smooth interior brick walls (2000 sf area)</t>
  </si>
  <si>
    <t>New interior work counter and base cabinet 15 lf</t>
  </si>
  <si>
    <t xml:space="preserve">Repair leak in skylight; New lighting (utilitarian - fluorescent), Remove plywood from window interiors, selective replacement of window glazing compound. Miscellaneous repainting. </t>
  </si>
  <si>
    <t>Exterior:  Brick repointing - assume 100 sf</t>
  </si>
  <si>
    <t>Tile roof repairs:  Assume selective tile replacement (assume 50 locations); detergent cleaning of roof.  Flashing replacement;  clean and repair gutters and downspouts (assumed scope:  miscellaneous repairs to lead gutters and downspouts, including reconnecting of loose joints, cleaning out blockages)</t>
  </si>
  <si>
    <t>Exterior Caulking (assume 100 lf)</t>
  </si>
  <si>
    <t>Exterior painting (garage doors, wood trim)</t>
  </si>
  <si>
    <t>Subgrade utility space under Courtyard</t>
  </si>
  <si>
    <t>15' x 30' area of rusted rebar in concrete ceiling - chip out conc.; remove rusted bars, add new bars, pack with non-shrink grout.</t>
  </si>
  <si>
    <t>450 sf</t>
  </si>
  <si>
    <t>Find source of water penetration - possible broken pipe from domestic water.  (buried underground under courtyard - conc pavers over assumed concrete slab)</t>
  </si>
  <si>
    <t>Room 6 - Woman's Toilet Room</t>
  </si>
  <si>
    <t>Section 73</t>
  </si>
  <si>
    <t>Section 74</t>
  </si>
  <si>
    <t>Section 75</t>
  </si>
  <si>
    <t>Section 76</t>
  </si>
  <si>
    <t>Section 77</t>
  </si>
  <si>
    <t xml:space="preserve">AA. </t>
  </si>
  <si>
    <t xml:space="preserve">BB. </t>
  </si>
  <si>
    <t>qty</t>
  </si>
  <si>
    <t>unit</t>
  </si>
  <si>
    <t>unit cost</t>
  </si>
  <si>
    <t>Knole Cottage - Interior</t>
  </si>
  <si>
    <t>Rebuild brick masonry bearing under wood beam ends (2 locations @1 cu. ft. each.)</t>
  </si>
  <si>
    <t>cu ft</t>
  </si>
  <si>
    <t>Add wall bracket to partially support beam end (L 4x4x1/2 x 8" long; 2 epoxy anchors into brick masonry.</t>
  </si>
  <si>
    <t>sf</t>
  </si>
  <si>
    <t>lf</t>
  </si>
  <si>
    <t>20 lf</t>
  </si>
  <si>
    <t>ea</t>
  </si>
  <si>
    <t>Steel windows:  scrape, derust with wire brush (minor, scattered), prime, repaint @ 28 windows (ea 1' x 2.5')</t>
  </si>
  <si>
    <t>provide one new wood storm door (custom)</t>
  </si>
  <si>
    <t>ls</t>
  </si>
  <si>
    <t>New Cedar shingle roof: Remove existing cedar roof, replace damaged sheathing (assume 50 sf) with new spaced 1x boards; replace rotted rafters.  treat attic for mold. Install new cedar roof over cedar breather; provide concealed ridge and soffit vents, terne coated stainless
flashings. Note: Existing gutters and downspouts in vary good condition: no work except tightening up a few loose downspout joints.</t>
  </si>
  <si>
    <t>Adjust Drainage - regrade 100 sf to create positive drainage.  Incl removal and reinstallation of 4 shrubs.</t>
  </si>
  <si>
    <t>Garage:</t>
  </si>
  <si>
    <t>Refrigerators</t>
  </si>
  <si>
    <t>Tent Restroom</t>
  </si>
  <si>
    <t>Tent Kitchen</t>
  </si>
  <si>
    <t>Kitchen Upgrades</t>
  </si>
  <si>
    <t>Sun Porch Tent</t>
  </si>
  <si>
    <t>Sun Porch Tent Pad</t>
  </si>
  <si>
    <t>ALLOW</t>
  </si>
  <si>
    <t>Section 58</t>
  </si>
  <si>
    <t>Section 59</t>
  </si>
  <si>
    <t>Section 60</t>
  </si>
  <si>
    <t>Section 61</t>
  </si>
  <si>
    <t>Section 62</t>
  </si>
  <si>
    <t>A. Wilson Room</t>
  </si>
  <si>
    <t>S. Basement Level</t>
  </si>
  <si>
    <t>T. First Level</t>
  </si>
  <si>
    <t>U. Second Level</t>
  </si>
  <si>
    <t>V. Third Level</t>
  </si>
  <si>
    <t>W. Waterproofing</t>
  </si>
  <si>
    <t>Section 72</t>
  </si>
  <si>
    <t>R. Draperies &amp; Fabric Wall Coverings</t>
  </si>
  <si>
    <t>C. Lower Level: New Restroom</t>
  </si>
  <si>
    <t>B. Lower Level: Expand 3 Ex. Restrooms</t>
  </si>
  <si>
    <t>D. Floral Room.</t>
  </si>
  <si>
    <t>E. Carriage House, Loft, Garage</t>
  </si>
  <si>
    <t xml:space="preserve">P. </t>
  </si>
  <si>
    <t>F. Floor Protection</t>
  </si>
  <si>
    <t>H. Kitchen Refrigerators</t>
  </si>
  <si>
    <t>I. Restroom for Tents</t>
  </si>
  <si>
    <t>J. Kitchen for Tents</t>
  </si>
  <si>
    <t>K. Kitchen Upgrades</t>
  </si>
  <si>
    <t>L. New Second Tent off Sun Porch</t>
  </si>
  <si>
    <t>M. Pad for Tent off Sun Porch</t>
  </si>
  <si>
    <t>N. Upgrade Existing Tend</t>
  </si>
  <si>
    <t>O. Replace Existing Tent</t>
  </si>
  <si>
    <t>ROOM RENOVATIONS</t>
  </si>
  <si>
    <t>G. Stanchions, Signs</t>
  </si>
  <si>
    <t>Wilson Room</t>
  </si>
  <si>
    <t>Existing Restrooms</t>
  </si>
  <si>
    <t>New Restroom</t>
  </si>
  <si>
    <t>B. New Boiler Feed</t>
  </si>
  <si>
    <t>C. Replace Boilers</t>
  </si>
  <si>
    <t>D. Mechanical - Replace/Repair Condensate Piping</t>
  </si>
  <si>
    <t>E. Mechanical - Update Steam Distribution System</t>
  </si>
  <si>
    <t>H. HVAC - Controls</t>
  </si>
  <si>
    <t>Architectural Subtotal</t>
  </si>
  <si>
    <t>Mechanical Subtotal</t>
  </si>
  <si>
    <t>Electrical Subtotal</t>
  </si>
  <si>
    <t>Grounds Subtotal</t>
  </si>
  <si>
    <t>Construction Subtotal (all items)</t>
  </si>
  <si>
    <t>M. Interior - Plaster Walls and Ceilings</t>
  </si>
  <si>
    <t>B. Exterior - Brick Parapets, Copings, Stonework &amp; Chimneys</t>
  </si>
  <si>
    <t>Check</t>
  </si>
  <si>
    <t>Project Costs and Risk Factors Subtotal</t>
  </si>
  <si>
    <t>Short Term Needs</t>
  </si>
  <si>
    <t>Long Term Needs</t>
  </si>
  <si>
    <t>Total Budget</t>
  </si>
  <si>
    <t>F. HVAC - Refurbish Ground &amp; 1st Floors</t>
  </si>
  <si>
    <t>G. HVAC - Refurbish 2nd &amp; 3rd Floors</t>
  </si>
  <si>
    <t>P. Basement Level</t>
  </si>
  <si>
    <t>Q. First Level</t>
  </si>
  <si>
    <t>R. Second Level</t>
  </si>
  <si>
    <t>S. Third Level</t>
  </si>
  <si>
    <t>Ta. Knoll Cottage</t>
  </si>
  <si>
    <t>J. Exterior - Knoll Cottage (incl. In Item Ta. Below)</t>
  </si>
  <si>
    <t>Tb. Garage</t>
  </si>
  <si>
    <t>Tc. Carriage House</t>
  </si>
  <si>
    <t>Td. Subgrade Utility Under Courtyard</t>
  </si>
  <si>
    <t>Ua. Room Renovations</t>
  </si>
  <si>
    <t>Ub. Architectural allowance for condensate piping replacement</t>
  </si>
  <si>
    <t>V. Draperies &amp; Fabric Wall Coverings</t>
  </si>
  <si>
    <t>X. Art, Furnishings and Antiques Conservation</t>
  </si>
  <si>
    <t>(incl. In Architectural , Item Ub. )</t>
  </si>
  <si>
    <t>F. Exterior - Chimneys (included in Item B above)</t>
  </si>
  <si>
    <t>I. Refrigeration - Liquor Control Room</t>
  </si>
  <si>
    <t>J. HVAC - Knoll Cottage</t>
  </si>
  <si>
    <t>K. HVAC - Wilson Room &amp; Carriage House</t>
  </si>
  <si>
    <t>L. Fire Protection - Kitchen Equipment System</t>
  </si>
  <si>
    <t>M. Plumbing Fixtures</t>
  </si>
  <si>
    <t>N. Testing</t>
  </si>
  <si>
    <t>O. Impact of Mech. Work on Architectural Finishes</t>
  </si>
  <si>
    <t>E. Electrical - Fire Alarm System</t>
  </si>
  <si>
    <t>F.  Inspections</t>
  </si>
  <si>
    <t>G. Knoll Cottage</t>
  </si>
  <si>
    <t>H. Carriage House</t>
  </si>
  <si>
    <t>I. Wilson Room</t>
  </si>
  <si>
    <t>Y. Repair/Rehab/Update Restrooms</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</si>
</sst>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mmmm\ d\,\ yyyy"/>
    <numFmt numFmtId="166" formatCode="mmmm\ yyyy"/>
    <numFmt numFmtId="167" formatCode="#,##0_)&quot;MTHS&quot;;\(#,##0\);;@"/>
    <numFmt numFmtId="168" formatCode="#####&quot;.&quot;###"/>
    <numFmt numFmtId="169" formatCode="0.00;[Red]0.00"/>
    <numFmt numFmtId="170" formatCode="00000"/>
    <numFmt numFmtId="171" formatCode="[&lt;=9999999]###\-####;\(###\)\ ###\-####"/>
    <numFmt numFmtId="172" formatCode="#,##0\ &quot;SF&quot;"/>
    <numFmt numFmtId="173" formatCode="&quot;$&quot;#,##0"/>
    <numFmt numFmtId="174" formatCode="0.0_)"/>
    <numFmt numFmtId="175" formatCode="0_)"/>
    <numFmt numFmtId="176" formatCode="_(* #,##0_);_(* \(#,##0\);_(* &quot;-&quot;??_);_(@_)"/>
    <numFmt numFmtId="177" formatCode="0.000_)"/>
    <numFmt numFmtId="178" formatCode="General_)"/>
    <numFmt numFmtId="179" formatCode="_(&quot;$&quot;* #,##0_);_(&quot;$&quot;* \(#,##0\);_(&quot;$&quot;* &quot;-&quot;??_);_(@_)"/>
    <numFmt numFmtId="180" formatCode="0###0"/>
    <numFmt numFmtId="181" formatCode="#,##0_);[Red]\(#,##0\);;@"/>
    <numFmt numFmtId="182" formatCode=";;;"/>
    <numFmt numFmtId="183" formatCode="#,##0_);[Red]\(#,##0\);0_);@"/>
    <numFmt numFmtId="184" formatCode="#,##0.00000_);\(#,##0.00\);;@"/>
    <numFmt numFmtId="185" formatCode="#,##0.00_);[Red]\(#,##0.00\);;@"/>
    <numFmt numFmtId="186" formatCode="#,#00"/>
    <numFmt numFmtId="187" formatCode="_(* #,##0.0_);_(* \(#,##0.0\);_(* &quot;-&quot;??_);_(@_)"/>
    <numFmt numFmtId="188" formatCode="General\ ;[Red]\(General\)"/>
    <numFmt numFmtId="189" formatCode="&quot;$&quot;#,##0.00"/>
    <numFmt numFmtId="190" formatCode="#,##0.00;[Red]#,##0.00"/>
    <numFmt numFmtId="191" formatCode="dd\-mmm\-yy_)"/>
    <numFmt numFmtId="192" formatCode="#,##0.000_);\(#,##0.000\)"/>
    <numFmt numFmtId="193" formatCode="0.000"/>
    <numFmt numFmtId="194" formatCode="#,##0.0_);\(#,##0.0\)"/>
    <numFmt numFmtId="195" formatCode="_(&quot;$&quot;* #,##0_);_(&quot;$&quot;* \(#,##0\)"/>
    <numFmt numFmtId="196" formatCode="_(&quot;$&quot;* #,##0.00_);_(&quot;$&quot;* \(#,##0.00\)"/>
    <numFmt numFmtId="197" formatCode="#,##0.0;[Red]#,##0.0"/>
    <numFmt numFmtId="198" formatCode="#,##0;[Red]#,##0"/>
    <numFmt numFmtId="199" formatCode="0.0"/>
    <numFmt numFmtId="200" formatCode="0.0%"/>
    <numFmt numFmtId="201" formatCode="mm/dd/yy_)"/>
    <numFmt numFmtId="202" formatCode="_(&quot;$&quot;* #,##0.0_);_(&quot;$&quot;* \(#,##0.0\);_(&quot;$&quot;* &quot;-&quot;??_);_(@_)"/>
    <numFmt numFmtId="203" formatCode="&quot;Yes&quot;;&quot;Yes&quot;;&quot;No&quot;"/>
    <numFmt numFmtId="204" formatCode="&quot;True&quot;;&quot;True&quot;;&quot;False&quot;"/>
    <numFmt numFmtId="205" formatCode="&quot;On&quot;;&quot;On&quot;;&quot;Off&quot;"/>
    <numFmt numFmtId="206" formatCode="&quot;$&quot;#,##0.0_);\(&quot;$&quot;#,##0.0\)"/>
    <numFmt numFmtId="207" formatCode="#,##0.0_);[Red]\(#,##0.0\)"/>
    <numFmt numFmtId="208" formatCode="0.00000"/>
    <numFmt numFmtId="209" formatCode="0.0000"/>
    <numFmt numFmtId="210" formatCode="#,##0_);\(#,##0\);;@"/>
    <numFmt numFmtId="211" formatCode="0.00_);[Red]\(0.00\)"/>
    <numFmt numFmtId="212" formatCode="#,##0.0"/>
    <numFmt numFmtId="213" formatCode="_(* #,##0.0_);_(* \(#,##0.0\);_(* &quot;-&quot;?_);_(@_)"/>
  </numFmts>
  <fonts count="67">
    <font>
      <sz val="10"/>
      <name val="Helv"/>
      <family val="0"/>
    </font>
    <font>
      <b/>
      <sz val="10"/>
      <color indexed="12"/>
      <name val="Helv"/>
      <family val="0"/>
    </font>
    <font>
      <sz val="9"/>
      <name val="Helv"/>
      <family val="0"/>
    </font>
    <font>
      <b/>
      <sz val="14"/>
      <color indexed="12"/>
      <name val="Times New Roman"/>
      <family val="1"/>
    </font>
    <font>
      <sz val="10"/>
      <color indexed="62"/>
      <name val="Arial"/>
      <family val="2"/>
    </font>
    <font>
      <b/>
      <sz val="12"/>
      <name val="Times New Roman"/>
      <family val="1"/>
    </font>
    <font>
      <b/>
      <sz val="10"/>
      <name val="Helv"/>
      <family val="0"/>
    </font>
    <font>
      <b/>
      <i/>
      <sz val="12"/>
      <name val="Times New Roman"/>
      <family val="1"/>
    </font>
    <font>
      <sz val="10"/>
      <name val="Century Gothic"/>
      <family val="2"/>
    </font>
    <font>
      <sz val="10"/>
      <name val="Times New Roman"/>
      <family val="1"/>
    </font>
    <font>
      <i/>
      <sz val="10"/>
      <color indexed="18"/>
      <name val="Century Gothic"/>
      <family val="2"/>
    </font>
    <font>
      <sz val="10"/>
      <color indexed="62"/>
      <name val="Helv"/>
      <family val="0"/>
    </font>
    <font>
      <b/>
      <sz val="14"/>
      <color indexed="21"/>
      <name val="Times New Roman"/>
      <family val="1"/>
    </font>
    <font>
      <u val="single"/>
      <sz val="10"/>
      <color indexed="12"/>
      <name val="Helv"/>
      <family val="0"/>
    </font>
    <font>
      <u val="single"/>
      <sz val="10"/>
      <color indexed="36"/>
      <name val="Helv"/>
      <family val="0"/>
    </font>
    <font>
      <b/>
      <sz val="9"/>
      <name val="Arial"/>
      <family val="2"/>
    </font>
    <font>
      <sz val="8"/>
      <name val="Arial"/>
      <family val="0"/>
    </font>
    <font>
      <sz val="8"/>
      <color indexed="56"/>
      <name val="Arial"/>
      <family val="2"/>
    </font>
    <font>
      <b/>
      <sz val="10"/>
      <name val="Arial"/>
      <family val="2"/>
    </font>
    <font>
      <b/>
      <sz val="10"/>
      <color indexed="10"/>
      <name val="Helv"/>
      <family val="0"/>
    </font>
    <font>
      <b/>
      <sz val="14"/>
      <name val="Arial"/>
      <family val="2"/>
    </font>
    <font>
      <b/>
      <i/>
      <sz val="10"/>
      <name val="Arial"/>
      <family val="2"/>
    </font>
    <font>
      <sz val="11"/>
      <name val="Times New Roman"/>
      <family val="1"/>
    </font>
    <font>
      <sz val="10"/>
      <color indexed="57"/>
      <name val="Helv"/>
      <family val="0"/>
    </font>
    <font>
      <sz val="10"/>
      <color indexed="12"/>
      <name val="Helv"/>
      <family val="0"/>
    </font>
    <font>
      <sz val="10"/>
      <color indexed="16"/>
      <name val="Helv"/>
      <family val="0"/>
    </font>
    <font>
      <sz val="10"/>
      <color indexed="17"/>
      <name val="Helv"/>
      <family val="0"/>
    </font>
    <font>
      <sz val="10"/>
      <name val="Arial"/>
      <family val="2"/>
    </font>
    <font>
      <b/>
      <sz val="8"/>
      <name val="Arial"/>
      <family val="2"/>
    </font>
    <font>
      <sz val="9"/>
      <name val="Arial"/>
      <family val="2"/>
    </font>
    <font>
      <b/>
      <sz val="9"/>
      <color indexed="10"/>
      <name val="Arial"/>
      <family val="2"/>
    </font>
    <font>
      <b/>
      <sz val="10"/>
      <color indexed="10"/>
      <name val="Arial"/>
      <family val="2"/>
    </font>
    <font>
      <b/>
      <sz val="10"/>
      <color indexed="39"/>
      <name val="Arial"/>
      <family val="2"/>
    </font>
    <font>
      <sz val="12"/>
      <name val="Arial"/>
      <family val="2"/>
    </font>
    <font>
      <b/>
      <sz val="12"/>
      <color indexed="10"/>
      <name val="Arial"/>
      <family val="2"/>
    </font>
    <font>
      <b/>
      <sz val="14"/>
      <color indexed="12"/>
      <name val="Arial"/>
      <family val="2"/>
    </font>
    <font>
      <b/>
      <sz val="14"/>
      <color indexed="21"/>
      <name val="Arial"/>
      <family val="2"/>
    </font>
    <font>
      <b/>
      <sz val="12"/>
      <name val="Arial"/>
      <family val="2"/>
    </font>
    <font>
      <sz val="9"/>
      <color indexed="10"/>
      <name val="Arial"/>
      <family val="2"/>
    </font>
    <font>
      <b/>
      <sz val="10"/>
      <color indexed="9"/>
      <name val="Arial"/>
      <family val="2"/>
    </font>
    <font>
      <b/>
      <sz val="10"/>
      <color indexed="12"/>
      <name val="Arial"/>
      <family val="2"/>
    </font>
    <font>
      <b/>
      <sz val="12"/>
      <color indexed="12"/>
      <name val="Arial"/>
      <family val="2"/>
    </font>
    <font>
      <sz val="11"/>
      <name val="Arial"/>
      <family val="2"/>
    </font>
    <font>
      <sz val="10.5"/>
      <name val="Arial"/>
      <family val="2"/>
    </font>
    <font>
      <b/>
      <sz val="10.5"/>
      <color indexed="12"/>
      <name val="Arial"/>
      <family val="2"/>
    </font>
    <font>
      <sz val="10"/>
      <color indexed="8"/>
      <name val="Helv"/>
      <family val="0"/>
    </font>
    <font>
      <b/>
      <sz val="10"/>
      <color indexed="17"/>
      <name val="Helv"/>
      <family val="0"/>
    </font>
    <font>
      <b/>
      <sz val="10"/>
      <color indexed="60"/>
      <name val="Helv"/>
      <family val="0"/>
    </font>
    <font>
      <sz val="10"/>
      <color indexed="60"/>
      <name val="Helv"/>
      <family val="0"/>
    </font>
    <font>
      <b/>
      <sz val="10"/>
      <color indexed="8"/>
      <name val="Arial"/>
      <family val="2"/>
    </font>
    <font>
      <sz val="9"/>
      <color indexed="8"/>
      <name val="Arial"/>
      <family val="2"/>
    </font>
    <font>
      <sz val="10"/>
      <color indexed="10"/>
      <name val="Arial"/>
      <family val="2"/>
    </font>
    <font>
      <sz val="10"/>
      <color indexed="8"/>
      <name val="Arial"/>
      <family val="2"/>
    </font>
    <font>
      <i/>
      <sz val="10"/>
      <color indexed="10"/>
      <name val="Arial"/>
      <family val="2"/>
    </font>
    <font>
      <sz val="12"/>
      <name val="Times New Roman"/>
      <family val="1"/>
    </font>
    <font>
      <b/>
      <sz val="10"/>
      <color indexed="61"/>
      <name val="Helv"/>
      <family val="0"/>
    </font>
    <font>
      <sz val="10"/>
      <color indexed="61"/>
      <name val="Helv"/>
      <family val="0"/>
    </font>
    <font>
      <sz val="8"/>
      <name val="Tahoma"/>
      <family val="0"/>
    </font>
    <font>
      <b/>
      <sz val="8"/>
      <name val="Tahoma"/>
      <family val="0"/>
    </font>
    <font>
      <sz val="10"/>
      <color indexed="9"/>
      <name val="Arial"/>
      <family val="2"/>
    </font>
    <font>
      <b/>
      <sz val="10"/>
      <color indexed="48"/>
      <name val="Arial"/>
      <family val="2"/>
    </font>
    <font>
      <sz val="10"/>
      <color indexed="48"/>
      <name val="Arial"/>
      <family val="2"/>
    </font>
    <font>
      <sz val="9"/>
      <color indexed="48"/>
      <name val="Arial"/>
      <family val="2"/>
    </font>
    <font>
      <b/>
      <sz val="9"/>
      <color indexed="48"/>
      <name val="Arial"/>
      <family val="2"/>
    </font>
    <font>
      <b/>
      <sz val="10"/>
      <color indexed="8"/>
      <name val="Helv"/>
      <family val="0"/>
    </font>
    <font>
      <b/>
      <sz val="9"/>
      <color indexed="8"/>
      <name val="Arial"/>
      <family val="2"/>
    </font>
    <font>
      <b/>
      <sz val="8"/>
      <name val="Helv"/>
      <family val="2"/>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12"/>
        <bgColor indexed="64"/>
      </patternFill>
    </fill>
    <fill>
      <patternFill patternType="solid">
        <fgColor indexed="10"/>
        <bgColor indexed="64"/>
      </patternFill>
    </fill>
    <fill>
      <patternFill patternType="solid">
        <fgColor indexed="13"/>
        <bgColor indexed="64"/>
      </patternFill>
    </fill>
  </fills>
  <borders count="28">
    <border>
      <left/>
      <right/>
      <top/>
      <bottom/>
      <diagonal/>
    </border>
    <border>
      <left>
        <color indexed="63"/>
      </left>
      <right>
        <color indexed="63"/>
      </right>
      <top style="hair"/>
      <bottom>
        <color indexed="63"/>
      </bottom>
    </border>
    <border>
      <left>
        <color indexed="63"/>
      </left>
      <right>
        <color indexed="63"/>
      </right>
      <top style="medium"/>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style="thin"/>
    </border>
    <border>
      <left style="thin"/>
      <right>
        <color indexed="63"/>
      </right>
      <top>
        <color indexed="63"/>
      </top>
      <bottom style="thin"/>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9" fillId="0" borderId="0">
      <alignment horizontal="left" vertical="top"/>
      <protection locked="0"/>
    </xf>
    <xf numFmtId="44" fontId="0" fillId="0" borderId="0" applyFont="0" applyFill="0" applyBorder="0" applyAlignment="0" applyProtection="0"/>
    <xf numFmtId="42" fontId="0" fillId="0" borderId="0" applyFont="0" applyFill="0" applyBorder="0" applyAlignment="0" applyProtection="0"/>
    <xf numFmtId="181" fontId="8" fillId="0" borderId="0" applyFont="0" applyFill="0" applyBorder="0">
      <alignment horizontal="left" vertical="top" wrapText="1"/>
      <protection locked="0"/>
    </xf>
    <xf numFmtId="0" fontId="14" fillId="0" borderId="0" applyNumberFormat="0" applyFill="0" applyBorder="0" applyAlignment="0" applyProtection="0"/>
    <xf numFmtId="0" fontId="13" fillId="0" borderId="0" applyNumberFormat="0" applyFill="0" applyBorder="0" applyAlignment="0" applyProtection="0"/>
    <xf numFmtId="40" fontId="17" fillId="0" borderId="0">
      <alignment shrinkToFit="1"/>
      <protection locked="0"/>
    </xf>
    <xf numFmtId="181" fontId="15" fillId="0" borderId="0">
      <alignment horizontal="left" vertical="top"/>
      <protection locked="0"/>
    </xf>
    <xf numFmtId="181" fontId="16" fillId="0" borderId="0">
      <alignment/>
      <protection/>
    </xf>
    <xf numFmtId="210" fontId="22" fillId="0" borderId="0" applyFill="0" applyBorder="0">
      <alignment/>
      <protection locked="0"/>
    </xf>
    <xf numFmtId="182" fontId="10" fillId="0" borderId="0" applyFont="0">
      <alignment horizontal="right"/>
      <protection locked="0"/>
    </xf>
    <xf numFmtId="188" fontId="17" fillId="0" borderId="0">
      <alignment/>
      <protection locked="0"/>
    </xf>
    <xf numFmtId="9" fontId="0" fillId="0" borderId="0" applyFont="0" applyFill="0" applyBorder="0" applyAlignment="0" applyProtection="0"/>
    <xf numFmtId="40" fontId="8" fillId="0" borderId="0" applyFont="0">
      <alignment/>
      <protection locked="0"/>
    </xf>
    <xf numFmtId="183" fontId="5" fillId="0" borderId="1">
      <alignment vertical="center"/>
      <protection/>
    </xf>
    <xf numFmtId="181" fontId="8" fillId="0" borderId="0" applyFont="0">
      <alignment/>
      <protection locked="0"/>
    </xf>
    <xf numFmtId="180" fontId="7" fillId="0" borderId="2" applyNumberFormat="0" applyFill="0" applyProtection="0">
      <alignment horizontal="center"/>
    </xf>
    <xf numFmtId="181" fontId="8" fillId="0" borderId="0">
      <alignment/>
      <protection/>
    </xf>
    <xf numFmtId="181" fontId="8" fillId="0" borderId="0" applyFont="0">
      <alignment horizontal="center"/>
      <protection locked="0"/>
    </xf>
  </cellStyleXfs>
  <cellXfs count="454">
    <xf numFmtId="0" fontId="0" fillId="0" borderId="0" xfId="0" applyAlignment="1">
      <alignment/>
    </xf>
    <xf numFmtId="181" fontId="6" fillId="0" borderId="0" xfId="35" applyFont="1">
      <alignment horizontal="center"/>
      <protection locked="0"/>
    </xf>
    <xf numFmtId="0" fontId="1" fillId="0" borderId="0" xfId="0" applyFont="1" applyFill="1" applyBorder="1" applyAlignment="1">
      <alignment horizontal="left"/>
    </xf>
    <xf numFmtId="0" fontId="2" fillId="0" borderId="0" xfId="0" applyFont="1" applyBorder="1" applyAlignment="1">
      <alignment horizontal="left"/>
    </xf>
    <xf numFmtId="0" fontId="2" fillId="0" borderId="0" xfId="0" applyFont="1" applyAlignment="1">
      <alignment/>
    </xf>
    <xf numFmtId="49" fontId="3" fillId="0" borderId="0" xfId="0" applyNumberFormat="1" applyFont="1" applyBorder="1" applyAlignment="1">
      <alignment horizontal="right" vertical="center"/>
    </xf>
    <xf numFmtId="0" fontId="2" fillId="0" borderId="0" xfId="0" applyFont="1" applyBorder="1" applyAlignment="1">
      <alignment/>
    </xf>
    <xf numFmtId="0" fontId="0" fillId="0" borderId="0" xfId="0" applyFont="1" applyAlignment="1" applyProtection="1">
      <alignment/>
      <protection/>
    </xf>
    <xf numFmtId="0" fontId="0" fillId="0" borderId="0" xfId="0" applyFont="1" applyBorder="1" applyAlignment="1">
      <alignment/>
    </xf>
    <xf numFmtId="0" fontId="0" fillId="0" borderId="0" xfId="0" applyFont="1" applyAlignment="1">
      <alignment/>
    </xf>
    <xf numFmtId="0" fontId="6" fillId="0" borderId="0" xfId="0" applyFont="1" applyBorder="1" applyAlignment="1" applyProtection="1">
      <alignment/>
      <protection/>
    </xf>
    <xf numFmtId="0" fontId="0" fillId="0" borderId="0" xfId="0" applyFont="1" applyAlignment="1">
      <alignment/>
    </xf>
    <xf numFmtId="0" fontId="6" fillId="0" borderId="0" xfId="0" applyFont="1" applyAlignment="1">
      <alignment/>
    </xf>
    <xf numFmtId="0" fontId="6" fillId="0" borderId="0" xfId="0" applyFont="1" applyAlignment="1" applyProtection="1">
      <alignment/>
      <protection/>
    </xf>
    <xf numFmtId="0" fontId="6"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pplyProtection="1">
      <alignment/>
      <protection/>
    </xf>
    <xf numFmtId="0" fontId="6" fillId="0" borderId="0" xfId="0" applyFont="1" applyBorder="1" applyAlignment="1" applyProtection="1">
      <alignment/>
      <protection/>
    </xf>
    <xf numFmtId="4" fontId="11" fillId="0" borderId="3" xfId="0" applyNumberFormat="1" applyFont="1" applyBorder="1" applyAlignment="1" applyProtection="1">
      <alignment horizontal="left"/>
      <protection locked="0"/>
    </xf>
    <xf numFmtId="166" fontId="11" fillId="0" borderId="4" xfId="0" applyNumberFormat="1" applyFont="1" applyBorder="1" applyAlignment="1" applyProtection="1">
      <alignment horizontal="left"/>
      <protection/>
    </xf>
    <xf numFmtId="167" fontId="11" fillId="0" borderId="3" xfId="0" applyNumberFormat="1" applyFont="1" applyBorder="1" applyAlignment="1" applyProtection="1">
      <alignment horizontal="left"/>
      <protection/>
    </xf>
    <xf numFmtId="166" fontId="11" fillId="0" borderId="0" xfId="0" applyNumberFormat="1" applyFont="1" applyBorder="1" applyAlignment="1" applyProtection="1">
      <alignment horizontal="left"/>
      <protection/>
    </xf>
    <xf numFmtId="0" fontId="6" fillId="0" borderId="0" xfId="0" applyFont="1" applyAlignment="1" applyProtection="1">
      <alignment/>
      <protection/>
    </xf>
    <xf numFmtId="49" fontId="0" fillId="0" borderId="0" xfId="0" applyNumberFormat="1" applyFont="1" applyAlignment="1" applyProtection="1">
      <alignment horizontal="right"/>
      <protection/>
    </xf>
    <xf numFmtId="168" fontId="4" fillId="0" borderId="0" xfId="0" applyNumberFormat="1" applyFont="1" applyBorder="1" applyAlignment="1" applyProtection="1">
      <alignment horizontal="left"/>
      <protection locked="0"/>
    </xf>
    <xf numFmtId="0" fontId="13" fillId="0" borderId="4" xfId="22" applyBorder="1" applyAlignment="1" applyProtection="1">
      <alignment horizontal="left"/>
      <protection locked="0"/>
    </xf>
    <xf numFmtId="0" fontId="6" fillId="0" borderId="5" xfId="0" applyFont="1" applyBorder="1" applyAlignment="1">
      <alignment vertical="center"/>
    </xf>
    <xf numFmtId="0" fontId="0" fillId="0" borderId="5" xfId="0" applyFont="1" applyBorder="1" applyAlignment="1">
      <alignment vertical="center"/>
    </xf>
    <xf numFmtId="4" fontId="1" fillId="0" borderId="5" xfId="0" applyNumberFormat="1" applyFont="1" applyFill="1" applyBorder="1" applyAlignment="1" applyProtection="1">
      <alignment horizontal="right" vertical="center"/>
      <protection/>
    </xf>
    <xf numFmtId="0" fontId="0" fillId="0" borderId="3" xfId="0" applyFont="1" applyBorder="1" applyAlignment="1" applyProtection="1">
      <alignment horizontal="left"/>
      <protection locked="0"/>
    </xf>
    <xf numFmtId="0" fontId="0" fillId="0" borderId="4" xfId="0" applyFont="1" applyBorder="1" applyAlignment="1" applyProtection="1">
      <alignment horizontal="left"/>
      <protection locked="0"/>
    </xf>
    <xf numFmtId="177" fontId="0" fillId="0" borderId="4" xfId="0" applyNumberFormat="1" applyFont="1" applyBorder="1" applyAlignment="1" applyProtection="1">
      <alignment horizontal="left"/>
      <protection locked="0"/>
    </xf>
    <xf numFmtId="169" fontId="0" fillId="0" borderId="1" xfId="0" applyNumberFormat="1" applyFont="1" applyBorder="1" applyAlignment="1" applyProtection="1">
      <alignment horizontal="left"/>
      <protection locked="0"/>
    </xf>
    <xf numFmtId="165" fontId="0" fillId="0" borderId="4" xfId="0" applyNumberFormat="1" applyFont="1" applyBorder="1" applyAlignment="1" applyProtection="1">
      <alignment horizontal="left"/>
      <protection locked="0"/>
    </xf>
    <xf numFmtId="167" fontId="0" fillId="0" borderId="4" xfId="0" applyNumberFormat="1" applyFont="1" applyBorder="1" applyAlignment="1" applyProtection="1">
      <alignment horizontal="left"/>
      <protection/>
    </xf>
    <xf numFmtId="170" fontId="0" fillId="0" borderId="4" xfId="0" applyNumberFormat="1" applyFont="1" applyBorder="1" applyAlignment="1" applyProtection="1">
      <alignment horizontal="left"/>
      <protection locked="0"/>
    </xf>
    <xf numFmtId="171" fontId="0" fillId="0" borderId="4" xfId="0" applyNumberFormat="1" applyFont="1" applyBorder="1" applyAlignment="1" applyProtection="1">
      <alignment horizontal="left"/>
      <protection locked="0"/>
    </xf>
    <xf numFmtId="165" fontId="19" fillId="0" borderId="4" xfId="0" applyNumberFormat="1" applyFont="1" applyBorder="1" applyAlignment="1" applyProtection="1">
      <alignment horizontal="left"/>
      <protection locked="0"/>
    </xf>
    <xf numFmtId="0" fontId="21" fillId="0" borderId="0" xfId="0" applyFont="1" applyAlignment="1">
      <alignment/>
    </xf>
    <xf numFmtId="0" fontId="18" fillId="0" borderId="0" xfId="0" applyFont="1" applyFill="1" applyAlignment="1">
      <alignment horizontal="left"/>
    </xf>
    <xf numFmtId="0" fontId="18" fillId="0" borderId="0" xfId="0" applyFont="1" applyFill="1" applyAlignment="1">
      <alignment horizontal="left" indent="1"/>
    </xf>
    <xf numFmtId="3" fontId="18" fillId="0" borderId="0" xfId="0" applyNumberFormat="1" applyFont="1" applyFill="1" applyAlignment="1">
      <alignment/>
    </xf>
    <xf numFmtId="0" fontId="18" fillId="0" borderId="0" xfId="0" applyFont="1" applyFill="1" applyAlignment="1">
      <alignment horizontal="center"/>
    </xf>
    <xf numFmtId="43" fontId="18" fillId="0" borderId="0" xfId="15" applyFont="1" applyFill="1" applyAlignment="1">
      <alignment/>
    </xf>
    <xf numFmtId="0" fontId="18" fillId="0" borderId="0" xfId="0" applyFont="1" applyAlignment="1">
      <alignment horizontal="right"/>
    </xf>
    <xf numFmtId="179" fontId="18" fillId="0" borderId="0" xfId="18" applyNumberFormat="1" applyFont="1" applyAlignment="1">
      <alignment/>
    </xf>
    <xf numFmtId="0" fontId="20" fillId="0" borderId="0" xfId="0" applyFont="1" applyFill="1" applyAlignment="1">
      <alignment/>
    </xf>
    <xf numFmtId="0" fontId="23" fillId="0" borderId="0" xfId="0" applyFont="1" applyAlignment="1" applyProtection="1">
      <alignment/>
      <protection/>
    </xf>
    <xf numFmtId="0" fontId="24" fillId="0" borderId="0" xfId="0" applyFont="1" applyBorder="1" applyAlignment="1" applyProtection="1">
      <alignment/>
      <protection/>
    </xf>
    <xf numFmtId="0" fontId="24" fillId="0" borderId="0" xfId="0" applyFont="1" applyAlignment="1" applyProtection="1">
      <alignment/>
      <protection/>
    </xf>
    <xf numFmtId="0" fontId="25" fillId="0" borderId="0" xfId="0" applyFont="1" applyAlignment="1" applyProtection="1">
      <alignment/>
      <protection/>
    </xf>
    <xf numFmtId="0" fontId="26" fillId="0" borderId="0" xfId="0" applyFont="1" applyBorder="1" applyAlignment="1" applyProtection="1">
      <alignment/>
      <protection/>
    </xf>
    <xf numFmtId="0" fontId="26" fillId="0" borderId="0" xfId="0" applyFont="1" applyAlignment="1" applyProtection="1">
      <alignment/>
      <protection/>
    </xf>
    <xf numFmtId="3" fontId="18" fillId="0" borderId="0" xfId="0" applyNumberFormat="1" applyFont="1" applyFill="1" applyAlignment="1">
      <alignment horizontal="center"/>
    </xf>
    <xf numFmtId="0" fontId="18" fillId="0" borderId="0" xfId="0" applyFont="1" applyFill="1" applyAlignment="1">
      <alignment horizontal="right"/>
    </xf>
    <xf numFmtId="179" fontId="18" fillId="0" borderId="0" xfId="18" applyNumberFormat="1" applyFont="1" applyFill="1" applyAlignment="1">
      <alignment/>
    </xf>
    <xf numFmtId="0" fontId="21" fillId="0" borderId="0" xfId="0" applyFont="1" applyFill="1" applyAlignment="1">
      <alignment/>
    </xf>
    <xf numFmtId="177" fontId="15" fillId="0" borderId="2" xfId="0" applyNumberFormat="1" applyFont="1" applyFill="1" applyBorder="1" applyAlignment="1">
      <alignment horizontal="left"/>
    </xf>
    <xf numFmtId="0" fontId="27" fillId="0" borderId="6" xfId="0" applyFont="1" applyFill="1" applyBorder="1" applyAlignment="1">
      <alignment horizontal="left"/>
    </xf>
    <xf numFmtId="0" fontId="15" fillId="0" borderId="2" xfId="0" applyFont="1" applyBorder="1" applyAlignment="1">
      <alignment horizontal="center"/>
    </xf>
    <xf numFmtId="179" fontId="27" fillId="0" borderId="2" xfId="18" applyNumberFormat="1" applyFont="1" applyBorder="1" applyAlignment="1">
      <alignment/>
    </xf>
    <xf numFmtId="0" fontId="27" fillId="0" borderId="2" xfId="0" applyFont="1" applyBorder="1" applyAlignment="1">
      <alignment/>
    </xf>
    <xf numFmtId="179" fontId="27" fillId="0" borderId="2" xfId="18" applyNumberFormat="1" applyFont="1" applyBorder="1" applyAlignment="1">
      <alignment horizontal="right"/>
    </xf>
    <xf numFmtId="15" fontId="28" fillId="0" borderId="7" xfId="0" applyNumberFormat="1" applyFont="1" applyFill="1" applyBorder="1" applyAlignment="1" applyProtection="1">
      <alignment horizontal="right"/>
      <protection/>
    </xf>
    <xf numFmtId="0" fontId="27" fillId="0" borderId="0" xfId="0" applyFont="1" applyAlignment="1">
      <alignment/>
    </xf>
    <xf numFmtId="0" fontId="27" fillId="0" borderId="8" xfId="0" applyFont="1" applyFill="1" applyBorder="1" applyAlignment="1">
      <alignment horizontal="left"/>
    </xf>
    <xf numFmtId="0" fontId="15" fillId="0" borderId="0" xfId="0" applyFont="1" applyFill="1" applyBorder="1" applyAlignment="1">
      <alignment horizontal="left"/>
    </xf>
    <xf numFmtId="0" fontId="27" fillId="0" borderId="0" xfId="0" applyFont="1" applyBorder="1" applyAlignment="1">
      <alignment horizontal="left"/>
    </xf>
    <xf numFmtId="179" fontId="27" fillId="0" borderId="0" xfId="18" applyNumberFormat="1" applyFont="1" applyBorder="1" applyAlignment="1">
      <alignment/>
    </xf>
    <xf numFmtId="0" fontId="27" fillId="0" borderId="0" xfId="0" applyFont="1" applyBorder="1" applyAlignment="1">
      <alignment/>
    </xf>
    <xf numFmtId="179" fontId="29" fillId="0" borderId="0" xfId="18" applyNumberFormat="1" applyFont="1" applyBorder="1" applyAlignment="1" applyProtection="1">
      <alignment horizontal="right"/>
      <protection/>
    </xf>
    <xf numFmtId="0" fontId="15" fillId="0" borderId="9" xfId="0" applyNumberFormat="1" applyFont="1" applyFill="1" applyBorder="1" applyAlignment="1" quotePrefix="1">
      <alignment horizontal="right"/>
    </xf>
    <xf numFmtId="179" fontId="29" fillId="0" borderId="0" xfId="18" applyNumberFormat="1" applyFont="1" applyBorder="1" applyAlignment="1">
      <alignment horizontal="right"/>
    </xf>
    <xf numFmtId="15" fontId="15" fillId="0" borderId="9" xfId="0" applyNumberFormat="1" applyFont="1" applyFill="1" applyBorder="1" applyAlignment="1">
      <alignment horizontal="right" vertical="center"/>
    </xf>
    <xf numFmtId="0" fontId="27" fillId="0" borderId="10" xfId="0" applyFont="1" applyFill="1" applyBorder="1" applyAlignment="1">
      <alignment horizontal="left"/>
    </xf>
    <xf numFmtId="0" fontId="30" fillId="0" borderId="11" xfId="0" applyFont="1" applyFill="1" applyBorder="1" applyAlignment="1">
      <alignment horizontal="left"/>
    </xf>
    <xf numFmtId="0" fontId="15" fillId="0" borderId="11" xfId="0" applyFont="1" applyBorder="1" applyAlignment="1">
      <alignment horizontal="left"/>
    </xf>
    <xf numFmtId="179" fontId="27" fillId="0" borderId="11" xfId="18" applyNumberFormat="1" applyFont="1" applyBorder="1" applyAlignment="1">
      <alignment/>
    </xf>
    <xf numFmtId="0" fontId="27" fillId="0" borderId="11" xfId="0" applyFont="1" applyBorder="1" applyAlignment="1">
      <alignment/>
    </xf>
    <xf numFmtId="179" fontId="29" fillId="0" borderId="11" xfId="18" applyNumberFormat="1" applyFont="1" applyBorder="1" applyAlignment="1">
      <alignment horizontal="right"/>
    </xf>
    <xf numFmtId="3" fontId="31" fillId="0" borderId="12" xfId="0" applyNumberFormat="1" applyFont="1" applyBorder="1" applyAlignment="1">
      <alignment horizontal="right"/>
    </xf>
    <xf numFmtId="0" fontId="27" fillId="0" borderId="11" xfId="0" applyFont="1" applyFill="1" applyBorder="1" applyAlignment="1">
      <alignment horizontal="left"/>
    </xf>
    <xf numFmtId="3" fontId="31" fillId="0" borderId="11" xfId="0" applyNumberFormat="1" applyFont="1" applyBorder="1" applyAlignment="1">
      <alignment horizontal="right"/>
    </xf>
    <xf numFmtId="0" fontId="27" fillId="2" borderId="11" xfId="0" applyFont="1" applyFill="1" applyBorder="1" applyAlignment="1">
      <alignment horizontal="center"/>
    </xf>
    <xf numFmtId="179" fontId="27" fillId="2" borderId="11" xfId="18" applyNumberFormat="1" applyFont="1" applyFill="1" applyBorder="1" applyAlignment="1">
      <alignment horizontal="center"/>
    </xf>
    <xf numFmtId="0" fontId="27" fillId="0" borderId="0" xfId="0" applyFont="1" applyFill="1" applyAlignment="1">
      <alignment/>
    </xf>
    <xf numFmtId="0" fontId="27" fillId="0" borderId="0" xfId="0" applyFont="1" applyAlignment="1">
      <alignment horizontal="center"/>
    </xf>
    <xf numFmtId="0" fontId="27" fillId="0" borderId="0" xfId="0" applyFont="1" applyAlignment="1">
      <alignment horizontal="right"/>
    </xf>
    <xf numFmtId="179" fontId="27" fillId="0" borderId="0" xfId="18" applyNumberFormat="1" applyFont="1" applyAlignment="1">
      <alignment/>
    </xf>
    <xf numFmtId="3" fontId="18" fillId="0" borderId="0" xfId="0" applyNumberFormat="1" applyFont="1" applyBorder="1" applyAlignment="1">
      <alignment/>
    </xf>
    <xf numFmtId="3" fontId="18" fillId="0" borderId="0" xfId="0" applyNumberFormat="1" applyFont="1" applyBorder="1" applyAlignment="1">
      <alignment horizontal="center"/>
    </xf>
    <xf numFmtId="3" fontId="27" fillId="0" borderId="0" xfId="0" applyNumberFormat="1" applyFont="1" applyAlignment="1">
      <alignment/>
    </xf>
    <xf numFmtId="0" fontId="27" fillId="0" borderId="0" xfId="0" applyFont="1" applyFill="1" applyAlignment="1">
      <alignment horizontal="left" indent="1"/>
    </xf>
    <xf numFmtId="38" fontId="27" fillId="0" borderId="0" xfId="18" applyNumberFormat="1" applyFont="1" applyFill="1" applyAlignment="1">
      <alignment/>
    </xf>
    <xf numFmtId="0" fontId="27" fillId="0" borderId="0" xfId="0" applyFont="1" applyFill="1" applyAlignment="1">
      <alignment horizontal="left" indent="3"/>
    </xf>
    <xf numFmtId="178" fontId="27" fillId="0" borderId="0" xfId="0" applyNumberFormat="1" applyFont="1" applyFill="1" applyBorder="1" applyAlignment="1" applyProtection="1">
      <alignment horizontal="left"/>
      <protection/>
    </xf>
    <xf numFmtId="0" fontId="27" fillId="0" borderId="0" xfId="0" applyFont="1" applyFill="1" applyBorder="1" applyAlignment="1">
      <alignment/>
    </xf>
    <xf numFmtId="38" fontId="27" fillId="0" borderId="0" xfId="0" applyNumberFormat="1" applyFont="1" applyFill="1" applyBorder="1" applyAlignment="1">
      <alignment/>
    </xf>
    <xf numFmtId="0" fontId="29" fillId="0" borderId="0" xfId="0" applyFont="1" applyFill="1" applyBorder="1" applyAlignment="1">
      <alignment horizontal="center"/>
    </xf>
    <xf numFmtId="190" fontId="27" fillId="0" borderId="0" xfId="0" applyNumberFormat="1" applyFont="1" applyFill="1" applyBorder="1" applyAlignment="1">
      <alignment/>
    </xf>
    <xf numFmtId="38" fontId="27" fillId="0" borderId="0" xfId="15" applyNumberFormat="1" applyFont="1" applyFill="1" applyBorder="1" applyAlignment="1">
      <alignment/>
    </xf>
    <xf numFmtId="1" fontId="27" fillId="0" borderId="0" xfId="0" applyNumberFormat="1" applyFont="1" applyAlignment="1">
      <alignment/>
    </xf>
    <xf numFmtId="0" fontId="27" fillId="0" borderId="0" xfId="0" applyFont="1" applyFill="1" applyAlignment="1">
      <alignment horizontal="left" indent="2"/>
    </xf>
    <xf numFmtId="179" fontId="27" fillId="0" borderId="0" xfId="18" applyNumberFormat="1" applyFont="1" applyFill="1" applyAlignment="1">
      <alignment/>
    </xf>
    <xf numFmtId="3" fontId="27" fillId="0" borderId="0" xfId="15" applyNumberFormat="1" applyFont="1" applyFill="1" applyBorder="1" applyAlignment="1">
      <alignment/>
    </xf>
    <xf numFmtId="1" fontId="27" fillId="0" borderId="0" xfId="0" applyNumberFormat="1" applyFont="1" applyFill="1" applyAlignment="1">
      <alignment/>
    </xf>
    <xf numFmtId="0" fontId="27" fillId="0" borderId="0" xfId="0" applyFont="1" applyFill="1" applyAlignment="1">
      <alignment horizontal="center"/>
    </xf>
    <xf numFmtId="179" fontId="27" fillId="0" borderId="11" xfId="18" applyNumberFormat="1" applyFont="1" applyFill="1" applyBorder="1" applyAlignment="1">
      <alignment/>
    </xf>
    <xf numFmtId="3" fontId="18" fillId="0" borderId="0" xfId="0" applyNumberFormat="1" applyFont="1" applyFill="1" applyBorder="1" applyAlignment="1">
      <alignment/>
    </xf>
    <xf numFmtId="3" fontId="18" fillId="0" borderId="0" xfId="0" applyNumberFormat="1" applyFont="1" applyFill="1" applyBorder="1" applyAlignment="1">
      <alignment horizontal="center"/>
    </xf>
    <xf numFmtId="4" fontId="18" fillId="0" borderId="0" xfId="0" applyNumberFormat="1" applyFont="1" applyFill="1" applyBorder="1" applyAlignment="1">
      <alignment/>
    </xf>
    <xf numFmtId="3" fontId="27" fillId="0" borderId="0" xfId="0" applyNumberFormat="1" applyFont="1" applyFill="1" applyAlignment="1">
      <alignment/>
    </xf>
    <xf numFmtId="40" fontId="27" fillId="0" borderId="0" xfId="18" applyNumberFormat="1" applyFont="1" applyFill="1" applyAlignment="1">
      <alignment/>
    </xf>
    <xf numFmtId="0" fontId="32" fillId="0" borderId="6" xfId="0" applyFont="1" applyFill="1" applyBorder="1" applyAlignment="1">
      <alignment/>
    </xf>
    <xf numFmtId="0" fontId="33" fillId="0" borderId="2" xfId="0" applyFont="1" applyFill="1" applyBorder="1" applyAlignment="1">
      <alignment/>
    </xf>
    <xf numFmtId="0" fontId="33" fillId="0" borderId="2" xfId="0" applyFont="1" applyBorder="1" applyAlignment="1">
      <alignment/>
    </xf>
    <xf numFmtId="49" fontId="35" fillId="0" borderId="2" xfId="0" applyNumberFormat="1" applyFont="1" applyBorder="1" applyAlignment="1">
      <alignment horizontal="right" vertical="center"/>
    </xf>
    <xf numFmtId="0" fontId="27" fillId="0" borderId="7" xfId="0" applyFont="1" applyBorder="1" applyAlignment="1">
      <alignment/>
    </xf>
    <xf numFmtId="0" fontId="33" fillId="0" borderId="0" xfId="0" applyFont="1" applyAlignment="1">
      <alignment/>
    </xf>
    <xf numFmtId="0" fontId="32" fillId="0" borderId="8" xfId="0" applyFont="1" applyFill="1" applyBorder="1" applyAlignment="1">
      <alignment/>
    </xf>
    <xf numFmtId="0" fontId="29" fillId="0" borderId="0" xfId="0" applyFont="1" applyFill="1" applyBorder="1" applyAlignment="1">
      <alignment horizontal="left"/>
    </xf>
    <xf numFmtId="0" fontId="29" fillId="0" borderId="0" xfId="0" applyFont="1" applyBorder="1" applyAlignment="1">
      <alignment horizontal="left"/>
    </xf>
    <xf numFmtId="0" fontId="29" fillId="0" borderId="0" xfId="0" applyFont="1" applyBorder="1" applyAlignment="1">
      <alignment/>
    </xf>
    <xf numFmtId="0" fontId="27" fillId="0" borderId="9" xfId="0" applyFont="1" applyBorder="1" applyAlignment="1">
      <alignment/>
    </xf>
    <xf numFmtId="0" fontId="29" fillId="0" borderId="0" xfId="0" applyFont="1" applyAlignment="1">
      <alignment/>
    </xf>
    <xf numFmtId="0" fontId="29" fillId="0" borderId="0" xfId="0" applyFont="1" applyBorder="1" applyAlignment="1">
      <alignment/>
    </xf>
    <xf numFmtId="0" fontId="18" fillId="0" borderId="13" xfId="0" applyFont="1" applyFill="1" applyBorder="1" applyAlignment="1">
      <alignment horizontal="left" vertical="center"/>
    </xf>
    <xf numFmtId="0" fontId="37" fillId="0" borderId="5" xfId="0" applyFont="1" applyBorder="1" applyAlignment="1">
      <alignment vertical="center"/>
    </xf>
    <xf numFmtId="0" fontId="27" fillId="0" borderId="14" xfId="0" applyFont="1" applyBorder="1" applyAlignment="1">
      <alignment/>
    </xf>
    <xf numFmtId="0" fontId="27" fillId="0" borderId="8" xfId="0" applyFont="1" applyFill="1" applyBorder="1" applyAlignment="1">
      <alignment horizontal="left" vertical="center"/>
    </xf>
    <xf numFmtId="0" fontId="31" fillId="0" borderId="0" xfId="0" applyFont="1" applyBorder="1" applyAlignment="1">
      <alignment vertical="center"/>
    </xf>
    <xf numFmtId="0" fontId="27" fillId="0" borderId="0" xfId="0" applyFont="1" applyBorder="1" applyAlignment="1">
      <alignment vertical="center"/>
    </xf>
    <xf numFmtId="0" fontId="18" fillId="0" borderId="15" xfId="0" applyFont="1" applyFill="1" applyBorder="1" applyAlignment="1">
      <alignment horizontal="left"/>
    </xf>
    <xf numFmtId="0" fontId="18" fillId="0" borderId="16" xfId="0" applyFont="1" applyBorder="1" applyAlignment="1">
      <alignment/>
    </xf>
    <xf numFmtId="3" fontId="18" fillId="0" borderId="17" xfId="0" applyNumberFormat="1" applyFont="1" applyBorder="1" applyAlignment="1" applyProtection="1">
      <alignment/>
      <protection/>
    </xf>
    <xf numFmtId="0" fontId="18" fillId="0" borderId="8" xfId="0" applyFont="1" applyFill="1" applyBorder="1" applyAlignment="1">
      <alignment horizontal="left"/>
    </xf>
    <xf numFmtId="0" fontId="18" fillId="0" borderId="0" xfId="0" applyFont="1" applyFill="1" applyBorder="1" applyAlignment="1">
      <alignment/>
    </xf>
    <xf numFmtId="3" fontId="18" fillId="0" borderId="9" xfId="0" applyNumberFormat="1" applyFont="1" applyBorder="1" applyAlignment="1" applyProtection="1">
      <alignment/>
      <protection/>
    </xf>
    <xf numFmtId="37" fontId="27" fillId="0" borderId="0" xfId="0" applyNumberFormat="1" applyFont="1" applyAlignment="1">
      <alignment/>
    </xf>
    <xf numFmtId="0" fontId="27" fillId="0" borderId="8" xfId="0" applyFont="1" applyFill="1" applyBorder="1" applyAlignment="1">
      <alignment/>
    </xf>
    <xf numFmtId="0" fontId="27" fillId="0" borderId="0" xfId="0" applyFont="1" applyFill="1" applyBorder="1" applyAlignment="1">
      <alignment horizontal="left" indent="1"/>
    </xf>
    <xf numFmtId="0" fontId="27" fillId="0" borderId="0" xfId="0" applyFont="1" applyFill="1" applyBorder="1" applyAlignment="1">
      <alignment/>
    </xf>
    <xf numFmtId="3" fontId="27" fillId="0" borderId="9" xfId="0" applyNumberFormat="1" applyFont="1" applyFill="1" applyBorder="1" applyAlignment="1" applyProtection="1">
      <alignment/>
      <protection/>
    </xf>
    <xf numFmtId="0" fontId="27"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Border="1" applyAlignment="1">
      <alignment horizontal="center"/>
    </xf>
    <xf numFmtId="3" fontId="27" fillId="0" borderId="9" xfId="0" applyNumberFormat="1" applyFont="1" applyBorder="1" applyAlignment="1" applyProtection="1">
      <alignment/>
      <protection/>
    </xf>
    <xf numFmtId="0" fontId="18" fillId="0" borderId="16" xfId="0" applyFont="1" applyFill="1" applyBorder="1" applyAlignment="1">
      <alignment/>
    </xf>
    <xf numFmtId="10" fontId="29" fillId="0" borderId="0" xfId="29" applyNumberFormat="1" applyFont="1" applyBorder="1" applyAlignment="1">
      <alignment horizontal="center"/>
    </xf>
    <xf numFmtId="0" fontId="18" fillId="0" borderId="16" xfId="0" applyFont="1" applyBorder="1" applyAlignment="1">
      <alignment horizontal="left"/>
    </xf>
    <xf numFmtId="0" fontId="18" fillId="0" borderId="16" xfId="0" applyFont="1" applyFill="1" applyBorder="1" applyAlignment="1">
      <alignment horizontal="left"/>
    </xf>
    <xf numFmtId="0" fontId="18" fillId="0" borderId="0" xfId="0" applyFont="1" applyFill="1" applyBorder="1" applyAlignment="1">
      <alignment horizontal="left"/>
    </xf>
    <xf numFmtId="0" fontId="18" fillId="0" borderId="2" xfId="0" applyFont="1" applyBorder="1" applyAlignment="1">
      <alignment/>
    </xf>
    <xf numFmtId="189" fontId="18" fillId="0" borderId="2" xfId="18" applyNumberFormat="1" applyFont="1" applyBorder="1" applyAlignment="1">
      <alignment horizontal="center"/>
    </xf>
    <xf numFmtId="3" fontId="18" fillId="0" borderId="2" xfId="0" applyNumberFormat="1" applyFont="1" applyBorder="1" applyAlignment="1">
      <alignment/>
    </xf>
    <xf numFmtId="0" fontId="27" fillId="0" borderId="0" xfId="0" applyFont="1" applyAlignment="1">
      <alignment horizontal="left"/>
    </xf>
    <xf numFmtId="43" fontId="27" fillId="0" borderId="0" xfId="15" applyFont="1" applyAlignment="1">
      <alignment/>
    </xf>
    <xf numFmtId="2" fontId="33" fillId="0" borderId="0" xfId="0" applyNumberFormat="1" applyFont="1" applyAlignment="1">
      <alignment horizontal="right"/>
    </xf>
    <xf numFmtId="49" fontId="35" fillId="0" borderId="0" xfId="0" applyNumberFormat="1" applyFont="1" applyBorder="1" applyAlignment="1">
      <alignment horizontal="right" vertical="center"/>
    </xf>
    <xf numFmtId="0" fontId="29" fillId="0" borderId="0" xfId="0" applyFont="1" applyAlignment="1">
      <alignment/>
    </xf>
    <xf numFmtId="0" fontId="29" fillId="0" borderId="5" xfId="0" applyFont="1" applyBorder="1" applyAlignment="1">
      <alignment vertical="center"/>
    </xf>
    <xf numFmtId="165" fontId="41" fillId="0" borderId="5" xfId="0" applyNumberFormat="1" applyFont="1" applyFill="1" applyBorder="1" applyAlignment="1" applyProtection="1">
      <alignment horizontal="right" vertical="center"/>
      <protection/>
    </xf>
    <xf numFmtId="3" fontId="18" fillId="0" borderId="0" xfId="0" applyNumberFormat="1" applyFont="1" applyBorder="1" applyAlignment="1" applyProtection="1">
      <alignment horizontal="left" vertical="center"/>
      <protection/>
    </xf>
    <xf numFmtId="0" fontId="42" fillId="0" borderId="0" xfId="0" applyFont="1" applyAlignment="1">
      <alignment horizontal="left" indent="2"/>
    </xf>
    <xf numFmtId="0" fontId="42" fillId="0" borderId="0" xfId="0" applyFont="1" applyAlignment="1">
      <alignment/>
    </xf>
    <xf numFmtId="0" fontId="42" fillId="0" borderId="0" xfId="0" applyFont="1" applyAlignment="1">
      <alignment wrapText="1"/>
    </xf>
    <xf numFmtId="165" fontId="43" fillId="0" borderId="0" xfId="0" applyNumberFormat="1" applyFont="1" applyBorder="1" applyAlignment="1" applyProtection="1">
      <alignment horizontal="left" wrapText="1"/>
      <protection/>
    </xf>
    <xf numFmtId="0" fontId="33" fillId="0" borderId="0" xfId="0" applyFont="1" applyAlignment="1" applyProtection="1">
      <alignment/>
      <protection/>
    </xf>
    <xf numFmtId="0" fontId="43" fillId="0" borderId="0" xfId="0" applyFont="1" applyAlignment="1" applyProtection="1">
      <alignment wrapText="1"/>
      <protection/>
    </xf>
    <xf numFmtId="0" fontId="44" fillId="0" borderId="0" xfId="0" applyFont="1" applyAlignment="1" applyProtection="1">
      <alignment wrapText="1"/>
      <protection/>
    </xf>
    <xf numFmtId="0" fontId="37" fillId="0" borderId="0" xfId="0" applyFont="1" applyAlignment="1" applyProtection="1">
      <alignment/>
      <protection/>
    </xf>
    <xf numFmtId="193" fontId="43" fillId="0" borderId="0" xfId="0" applyNumberFormat="1" applyFont="1" applyAlignment="1" applyProtection="1">
      <alignment horizontal="left" wrapText="1"/>
      <protection/>
    </xf>
    <xf numFmtId="0" fontId="33" fillId="0" borderId="0" xfId="0" applyFont="1" applyAlignment="1" applyProtection="1">
      <alignment wrapText="1"/>
      <protection/>
    </xf>
    <xf numFmtId="0" fontId="45" fillId="0" borderId="0" xfId="0" applyFont="1" applyBorder="1" applyAlignment="1" applyProtection="1">
      <alignment/>
      <protection/>
    </xf>
    <xf numFmtId="0" fontId="1" fillId="0" borderId="0" xfId="0" applyFont="1" applyAlignment="1" applyProtection="1">
      <alignment/>
      <protection/>
    </xf>
    <xf numFmtId="0" fontId="46" fillId="0" borderId="0" xfId="0" applyFont="1" applyAlignment="1" applyProtection="1">
      <alignment/>
      <protection/>
    </xf>
    <xf numFmtId="43" fontId="27" fillId="0" borderId="0" xfId="15" applyFont="1" applyFill="1" applyAlignment="1">
      <alignment/>
    </xf>
    <xf numFmtId="0" fontId="27" fillId="0" borderId="0" xfId="0" applyFont="1" applyAlignment="1" quotePrefix="1">
      <alignment/>
    </xf>
    <xf numFmtId="176" fontId="18" fillId="0" borderId="0" xfId="15" applyNumberFormat="1" applyFont="1" applyFill="1" applyAlignment="1">
      <alignment/>
    </xf>
    <xf numFmtId="0" fontId="18" fillId="0" borderId="0" xfId="0" applyFont="1" applyAlignment="1">
      <alignment/>
    </xf>
    <xf numFmtId="0" fontId="47" fillId="0" borderId="0" xfId="0" applyFont="1" applyAlignment="1" applyProtection="1">
      <alignment/>
      <protection/>
    </xf>
    <xf numFmtId="0" fontId="48" fillId="0" borderId="0" xfId="0" applyFont="1" applyBorder="1" applyAlignment="1" applyProtection="1">
      <alignment/>
      <protection/>
    </xf>
    <xf numFmtId="0" fontId="48" fillId="0" borderId="0" xfId="0" applyFont="1" applyAlignment="1" applyProtection="1">
      <alignment/>
      <protection/>
    </xf>
    <xf numFmtId="176" fontId="27" fillId="0" borderId="0" xfId="15" applyNumberFormat="1" applyFont="1" applyAlignment="1">
      <alignment/>
    </xf>
    <xf numFmtId="0" fontId="0" fillId="0" borderId="3" xfId="0" applyFont="1" applyFill="1" applyBorder="1" applyAlignment="1" applyProtection="1">
      <alignment horizontal="left"/>
      <protection locked="0"/>
    </xf>
    <xf numFmtId="0" fontId="40" fillId="0" borderId="0" xfId="0" applyFont="1" applyFill="1" applyAlignment="1">
      <alignment/>
    </xf>
    <xf numFmtId="0" fontId="33" fillId="0" borderId="0" xfId="0" applyFont="1" applyFill="1" applyAlignment="1">
      <alignment/>
    </xf>
    <xf numFmtId="0" fontId="18" fillId="0" borderId="5" xfId="0" applyFont="1" applyFill="1" applyBorder="1" applyAlignment="1">
      <alignment vertical="center"/>
    </xf>
    <xf numFmtId="0" fontId="29" fillId="0" borderId="5" xfId="0" applyFont="1" applyFill="1" applyBorder="1" applyAlignment="1">
      <alignment vertical="center"/>
    </xf>
    <xf numFmtId="0" fontId="27" fillId="0" borderId="0" xfId="0" applyFont="1" applyFill="1" applyBorder="1" applyAlignment="1">
      <alignment vertical="center"/>
    </xf>
    <xf numFmtId="0" fontId="27" fillId="0" borderId="0" xfId="0" applyFont="1" applyAlignment="1">
      <alignment vertical="center"/>
    </xf>
    <xf numFmtId="0" fontId="21" fillId="0" borderId="0" xfId="0" applyFont="1" applyAlignment="1">
      <alignment horizontal="left" vertical="center" indent="2"/>
    </xf>
    <xf numFmtId="0" fontId="27" fillId="0" borderId="0" xfId="0" applyFont="1" applyAlignment="1">
      <alignment vertical="center" wrapText="1"/>
    </xf>
    <xf numFmtId="0" fontId="27" fillId="0" borderId="0" xfId="0" applyFont="1" applyAlignment="1">
      <alignment horizontal="center" vertical="center" wrapText="1"/>
    </xf>
    <xf numFmtId="0" fontId="27" fillId="0" borderId="0" xfId="0" applyFont="1" applyAlignment="1">
      <alignment horizontal="left" vertical="center" indent="2"/>
    </xf>
    <xf numFmtId="0" fontId="27" fillId="0" borderId="0" xfId="0" applyFont="1" applyAlignment="1">
      <alignment horizontal="left" vertical="center" wrapText="1"/>
    </xf>
    <xf numFmtId="210" fontId="27" fillId="0" borderId="0" xfId="26" applyFont="1" applyAlignment="1">
      <alignment vertical="center"/>
      <protection locked="0"/>
    </xf>
    <xf numFmtId="210" fontId="27" fillId="0" borderId="0" xfId="26" applyFont="1" applyAlignment="1">
      <alignment vertical="center" wrapText="1"/>
      <protection locked="0"/>
    </xf>
    <xf numFmtId="0" fontId="27" fillId="0" borderId="0" xfId="0" applyFont="1" applyBorder="1" applyAlignment="1">
      <alignment horizontal="left" vertical="center"/>
    </xf>
    <xf numFmtId="0" fontId="18" fillId="0" borderId="0" xfId="0" applyFont="1" applyBorder="1" applyAlignment="1">
      <alignment horizontal="left" vertical="center"/>
    </xf>
    <xf numFmtId="10" fontId="27" fillId="0" borderId="0" xfId="0" applyNumberFormat="1" applyFont="1" applyBorder="1" applyAlignment="1">
      <alignment vertical="center"/>
    </xf>
    <xf numFmtId="0" fontId="27" fillId="0" borderId="0" xfId="0" applyFont="1" applyFill="1" applyAlignment="1">
      <alignment vertical="center"/>
    </xf>
    <xf numFmtId="210" fontId="27" fillId="0" borderId="0" xfId="26" applyFont="1" applyFill="1" applyAlignment="1">
      <alignment vertical="center" wrapText="1"/>
      <protection locked="0"/>
    </xf>
    <xf numFmtId="0" fontId="42" fillId="0" borderId="0" xfId="0" applyFont="1" applyAlignment="1">
      <alignment horizontal="left" vertical="center" indent="2"/>
    </xf>
    <xf numFmtId="0" fontId="42" fillId="0" borderId="0" xfId="0" applyFont="1" applyAlignment="1">
      <alignment vertical="center"/>
    </xf>
    <xf numFmtId="0" fontId="42" fillId="0" borderId="0" xfId="0" applyFont="1" applyAlignment="1">
      <alignment vertical="center" wrapText="1"/>
    </xf>
    <xf numFmtId="0" fontId="51" fillId="0" borderId="0" xfId="0" applyFont="1" applyFill="1" applyAlignment="1">
      <alignment horizontal="left" indent="3"/>
    </xf>
    <xf numFmtId="178" fontId="51" fillId="0" borderId="0" xfId="0" applyNumberFormat="1" applyFont="1" applyFill="1" applyBorder="1" applyAlignment="1" applyProtection="1">
      <alignment horizontal="left"/>
      <protection/>
    </xf>
    <xf numFmtId="0" fontId="51" fillId="0" borderId="0" xfId="0" applyFont="1" applyFill="1" applyBorder="1" applyAlignment="1">
      <alignment/>
    </xf>
    <xf numFmtId="38" fontId="51" fillId="0" borderId="0" xfId="0" applyNumberFormat="1" applyFont="1" applyFill="1" applyBorder="1" applyAlignment="1">
      <alignment/>
    </xf>
    <xf numFmtId="0" fontId="38" fillId="0" borderId="0" xfId="0" applyFont="1" applyFill="1" applyBorder="1" applyAlignment="1">
      <alignment horizontal="center"/>
    </xf>
    <xf numFmtId="190" fontId="51" fillId="0" borderId="0" xfId="0" applyNumberFormat="1" applyFont="1" applyFill="1" applyBorder="1" applyAlignment="1">
      <alignment/>
    </xf>
    <xf numFmtId="38" fontId="51" fillId="0" borderId="0" xfId="15" applyNumberFormat="1" applyFont="1" applyFill="1" applyBorder="1" applyAlignment="1">
      <alignment/>
    </xf>
    <xf numFmtId="178" fontId="52" fillId="0" borderId="0" xfId="0" applyNumberFormat="1" applyFont="1" applyFill="1" applyBorder="1" applyAlignment="1" applyProtection="1">
      <alignment horizontal="left"/>
      <protection/>
    </xf>
    <xf numFmtId="0" fontId="52" fillId="0" borderId="0" xfId="0" applyFont="1" applyFill="1" applyBorder="1" applyAlignment="1">
      <alignment/>
    </xf>
    <xf numFmtId="38" fontId="52" fillId="0" borderId="0" xfId="0" applyNumberFormat="1" applyFont="1" applyFill="1" applyBorder="1" applyAlignment="1">
      <alignment/>
    </xf>
    <xf numFmtId="0" fontId="50" fillId="0" borderId="0" xfId="0" applyFont="1" applyFill="1" applyBorder="1" applyAlignment="1">
      <alignment horizontal="center"/>
    </xf>
    <xf numFmtId="190" fontId="52" fillId="0" borderId="0" xfId="0" applyNumberFormat="1" applyFont="1" applyFill="1" applyBorder="1" applyAlignment="1">
      <alignment/>
    </xf>
    <xf numFmtId="38" fontId="52" fillId="0" borderId="0" xfId="15" applyNumberFormat="1" applyFont="1" applyFill="1" applyBorder="1" applyAlignment="1">
      <alignment/>
    </xf>
    <xf numFmtId="0" fontId="52" fillId="0" borderId="0" xfId="0" applyFont="1" applyAlignment="1">
      <alignment/>
    </xf>
    <xf numFmtId="0" fontId="51" fillId="0" borderId="0" xfId="0" applyFont="1" applyFill="1" applyAlignment="1">
      <alignment horizontal="left" indent="1"/>
    </xf>
    <xf numFmtId="0" fontId="51" fillId="0" borderId="0" xfId="0" applyFont="1" applyFill="1" applyAlignment="1">
      <alignment/>
    </xf>
    <xf numFmtId="0" fontId="51" fillId="0" borderId="0" xfId="0" applyFont="1" applyAlignment="1">
      <alignment/>
    </xf>
    <xf numFmtId="3" fontId="31" fillId="0" borderId="0" xfId="0" applyNumberFormat="1" applyFont="1" applyFill="1" applyAlignment="1">
      <alignment/>
    </xf>
    <xf numFmtId="3" fontId="31" fillId="0" borderId="0" xfId="0" applyNumberFormat="1" applyFont="1" applyFill="1" applyAlignment="1">
      <alignment horizontal="center"/>
    </xf>
    <xf numFmtId="43" fontId="31" fillId="0" borderId="0" xfId="15" applyFont="1" applyFill="1" applyAlignment="1">
      <alignment/>
    </xf>
    <xf numFmtId="38" fontId="51" fillId="0" borderId="0" xfId="18" applyNumberFormat="1" applyFont="1" applyFill="1" applyAlignment="1">
      <alignment/>
    </xf>
    <xf numFmtId="0" fontId="51" fillId="0" borderId="0" xfId="0" applyFont="1" applyFill="1" applyAlignment="1">
      <alignment horizontal="left" indent="2"/>
    </xf>
    <xf numFmtId="0" fontId="31" fillId="0" borderId="0" xfId="0" applyFont="1" applyFill="1" applyAlignment="1">
      <alignment horizontal="center"/>
    </xf>
    <xf numFmtId="179" fontId="51" fillId="0" borderId="0" xfId="18" applyNumberFormat="1" applyFont="1" applyFill="1" applyAlignment="1">
      <alignment/>
    </xf>
    <xf numFmtId="3" fontId="51" fillId="0" borderId="0" xfId="15" applyNumberFormat="1" applyFont="1" applyFill="1" applyBorder="1" applyAlignment="1">
      <alignment/>
    </xf>
    <xf numFmtId="0" fontId="27" fillId="3" borderId="0" xfId="0" applyFont="1" applyFill="1" applyAlignment="1">
      <alignment/>
    </xf>
    <xf numFmtId="0" fontId="27" fillId="3" borderId="0" xfId="0" applyFont="1" applyFill="1" applyAlignment="1">
      <alignment horizontal="center"/>
    </xf>
    <xf numFmtId="0" fontId="27" fillId="3" borderId="0" xfId="0" applyFont="1" applyFill="1" applyAlignment="1">
      <alignment horizontal="right"/>
    </xf>
    <xf numFmtId="179" fontId="27" fillId="3" borderId="0" xfId="18" applyNumberFormat="1" applyFont="1" applyFill="1" applyAlignment="1">
      <alignment/>
    </xf>
    <xf numFmtId="3" fontId="18" fillId="3" borderId="0" xfId="0" applyNumberFormat="1" applyFont="1" applyFill="1" applyBorder="1" applyAlignment="1">
      <alignment/>
    </xf>
    <xf numFmtId="3" fontId="18" fillId="3" borderId="0" xfId="0" applyNumberFormat="1" applyFont="1" applyFill="1" applyBorder="1" applyAlignment="1">
      <alignment horizontal="center"/>
    </xf>
    <xf numFmtId="43" fontId="18" fillId="3" borderId="0" xfId="15" applyFont="1" applyFill="1" applyAlignment="1">
      <alignment/>
    </xf>
    <xf numFmtId="3" fontId="27" fillId="3" borderId="0" xfId="0" applyNumberFormat="1" applyFont="1" applyFill="1" applyAlignment="1">
      <alignment/>
    </xf>
    <xf numFmtId="3" fontId="31" fillId="3" borderId="0" xfId="0" applyNumberFormat="1" applyFont="1" applyFill="1" applyAlignment="1">
      <alignment/>
    </xf>
    <xf numFmtId="3" fontId="31" fillId="3" borderId="0" xfId="0" applyNumberFormat="1" applyFont="1" applyFill="1" applyAlignment="1">
      <alignment horizontal="center"/>
    </xf>
    <xf numFmtId="43" fontId="31" fillId="3" borderId="0" xfId="15" applyFont="1" applyFill="1" applyAlignment="1">
      <alignment/>
    </xf>
    <xf numFmtId="38" fontId="51" fillId="3" borderId="0" xfId="18" applyNumberFormat="1" applyFont="1" applyFill="1" applyAlignment="1">
      <alignment/>
    </xf>
    <xf numFmtId="38" fontId="51" fillId="3" borderId="0" xfId="0" applyNumberFormat="1" applyFont="1" applyFill="1" applyBorder="1" applyAlignment="1">
      <alignment/>
    </xf>
    <xf numFmtId="0" fontId="38" fillId="3" borderId="0" xfId="0" applyFont="1" applyFill="1" applyBorder="1" applyAlignment="1">
      <alignment horizontal="center"/>
    </xf>
    <xf numFmtId="190" fontId="51" fillId="3" borderId="0" xfId="0" applyNumberFormat="1" applyFont="1" applyFill="1" applyBorder="1" applyAlignment="1">
      <alignment/>
    </xf>
    <xf numFmtId="38" fontId="51" fillId="3" borderId="0" xfId="15" applyNumberFormat="1" applyFont="1" applyFill="1" applyBorder="1" applyAlignment="1">
      <alignment/>
    </xf>
    <xf numFmtId="3" fontId="18" fillId="3" borderId="0" xfId="0" applyNumberFormat="1" applyFont="1" applyFill="1" applyAlignment="1">
      <alignment/>
    </xf>
    <xf numFmtId="3" fontId="18" fillId="3" borderId="0" xfId="0" applyNumberFormat="1" applyFont="1" applyFill="1" applyAlignment="1">
      <alignment horizontal="center"/>
    </xf>
    <xf numFmtId="38" fontId="27" fillId="3" borderId="0" xfId="18" applyNumberFormat="1" applyFont="1" applyFill="1" applyAlignment="1">
      <alignment/>
    </xf>
    <xf numFmtId="38" fontId="27" fillId="3" borderId="0" xfId="0" applyNumberFormat="1" applyFont="1" applyFill="1" applyBorder="1" applyAlignment="1">
      <alignment/>
    </xf>
    <xf numFmtId="0" fontId="29" fillId="3" borderId="0" xfId="0" applyFont="1" applyFill="1" applyBorder="1" applyAlignment="1">
      <alignment horizontal="center"/>
    </xf>
    <xf numFmtId="190" fontId="27" fillId="3" borderId="0" xfId="0" applyNumberFormat="1" applyFont="1" applyFill="1" applyBorder="1" applyAlignment="1">
      <alignment/>
    </xf>
    <xf numFmtId="38" fontId="27" fillId="3" borderId="0" xfId="15" applyNumberFormat="1" applyFont="1" applyFill="1" applyBorder="1" applyAlignment="1">
      <alignment/>
    </xf>
    <xf numFmtId="38" fontId="52" fillId="3" borderId="0" xfId="0" applyNumberFormat="1" applyFont="1" applyFill="1" applyBorder="1" applyAlignment="1">
      <alignment/>
    </xf>
    <xf numFmtId="0" fontId="50" fillId="3" borderId="0" xfId="0" applyFont="1" applyFill="1" applyBorder="1" applyAlignment="1">
      <alignment horizontal="center"/>
    </xf>
    <xf numFmtId="190" fontId="52" fillId="3" borderId="0" xfId="0" applyNumberFormat="1" applyFont="1" applyFill="1" applyBorder="1" applyAlignment="1">
      <alignment/>
    </xf>
    <xf numFmtId="38" fontId="52" fillId="3" borderId="0" xfId="15" applyNumberFormat="1" applyFont="1" applyFill="1" applyBorder="1" applyAlignment="1">
      <alignment/>
    </xf>
    <xf numFmtId="1" fontId="27" fillId="3" borderId="0" xfId="0" applyNumberFormat="1" applyFont="1" applyFill="1" applyAlignment="1">
      <alignment/>
    </xf>
    <xf numFmtId="179" fontId="27" fillId="3" borderId="11" xfId="18" applyNumberFormat="1" applyFont="1" applyFill="1" applyBorder="1" applyAlignment="1">
      <alignment/>
    </xf>
    <xf numFmtId="0" fontId="18" fillId="3" borderId="0" xfId="0" applyFont="1" applyFill="1" applyAlignment="1">
      <alignment horizontal="right"/>
    </xf>
    <xf numFmtId="179" fontId="31" fillId="3" borderId="0" xfId="18" applyNumberFormat="1" applyFont="1" applyFill="1" applyAlignment="1">
      <alignment/>
    </xf>
    <xf numFmtId="176" fontId="18" fillId="3" borderId="0" xfId="15" applyNumberFormat="1" applyFont="1" applyFill="1" applyAlignment="1">
      <alignment/>
    </xf>
    <xf numFmtId="0" fontId="51" fillId="3" borderId="0" xfId="0" applyFont="1" applyFill="1" applyAlignment="1">
      <alignment/>
    </xf>
    <xf numFmtId="3" fontId="31" fillId="3" borderId="0" xfId="0" applyNumberFormat="1" applyFont="1" applyFill="1" applyBorder="1" applyAlignment="1">
      <alignment/>
    </xf>
    <xf numFmtId="179" fontId="18" fillId="3" borderId="0" xfId="18" applyNumberFormat="1" applyFont="1" applyFill="1" applyAlignment="1">
      <alignment/>
    </xf>
    <xf numFmtId="0" fontId="31" fillId="3" borderId="0" xfId="0" applyFont="1" applyFill="1" applyAlignment="1">
      <alignment horizontal="center"/>
    </xf>
    <xf numFmtId="179" fontId="51" fillId="3" borderId="0" xfId="18" applyNumberFormat="1" applyFont="1" applyFill="1" applyAlignment="1">
      <alignment/>
    </xf>
    <xf numFmtId="3" fontId="51" fillId="3" borderId="0" xfId="15" applyNumberFormat="1" applyFont="1" applyFill="1" applyBorder="1" applyAlignment="1">
      <alignment/>
    </xf>
    <xf numFmtId="0" fontId="18" fillId="3" borderId="0" xfId="0" applyFont="1" applyFill="1" applyAlignment="1">
      <alignment horizontal="center"/>
    </xf>
    <xf numFmtId="3" fontId="27" fillId="3" borderId="0" xfId="15" applyNumberFormat="1" applyFont="1" applyFill="1" applyBorder="1" applyAlignment="1">
      <alignment/>
    </xf>
    <xf numFmtId="4" fontId="18" fillId="3" borderId="0" xfId="0" applyNumberFormat="1" applyFont="1" applyFill="1" applyBorder="1" applyAlignment="1">
      <alignment/>
    </xf>
    <xf numFmtId="43" fontId="27" fillId="3" borderId="0" xfId="15" applyFont="1" applyFill="1" applyAlignment="1">
      <alignment/>
    </xf>
    <xf numFmtId="4" fontId="31" fillId="0" borderId="0" xfId="0" applyNumberFormat="1" applyFont="1" applyFill="1" applyBorder="1" applyAlignment="1">
      <alignment/>
    </xf>
    <xf numFmtId="0" fontId="51" fillId="3" borderId="0" xfId="0" applyFont="1" applyFill="1" applyAlignment="1">
      <alignment horizontal="center"/>
    </xf>
    <xf numFmtId="43" fontId="51" fillId="3" borderId="0" xfId="15" applyFont="1" applyFill="1" applyAlignment="1">
      <alignment/>
    </xf>
    <xf numFmtId="0" fontId="51" fillId="0" borderId="0" xfId="0" applyFont="1" applyFill="1" applyAlignment="1">
      <alignment horizontal="center"/>
    </xf>
    <xf numFmtId="43" fontId="51" fillId="0" borderId="0" xfId="15" applyFont="1" applyFill="1" applyAlignment="1">
      <alignment/>
    </xf>
    <xf numFmtId="176" fontId="31" fillId="3" borderId="0" xfId="15" applyNumberFormat="1" applyFont="1" applyFill="1" applyAlignment="1">
      <alignment/>
    </xf>
    <xf numFmtId="0" fontId="52" fillId="0" borderId="0" xfId="0" applyFont="1" applyFill="1" applyAlignment="1">
      <alignment horizontal="left" indent="2"/>
    </xf>
    <xf numFmtId="0" fontId="52" fillId="0" borderId="0" xfId="0" applyFont="1" applyFill="1" applyAlignment="1">
      <alignment horizontal="left" indent="1"/>
    </xf>
    <xf numFmtId="0" fontId="53" fillId="0" borderId="0" xfId="0" applyFont="1" applyAlignment="1">
      <alignment/>
    </xf>
    <xf numFmtId="0" fontId="0" fillId="0" borderId="0" xfId="0" applyAlignment="1">
      <alignment vertical="top" wrapText="1"/>
    </xf>
    <xf numFmtId="0" fontId="54" fillId="0" borderId="0" xfId="0" applyFont="1" applyAlignment="1">
      <alignment/>
    </xf>
    <xf numFmtId="0" fontId="53" fillId="0" borderId="0" xfId="0" applyFont="1" applyFill="1" applyAlignment="1">
      <alignment horizontal="left" indent="1"/>
    </xf>
    <xf numFmtId="0" fontId="53" fillId="0" borderId="0" xfId="0" applyFont="1" applyFill="1" applyAlignment="1">
      <alignment horizontal="left" indent="3"/>
    </xf>
    <xf numFmtId="0" fontId="20" fillId="0" borderId="0" xfId="0" applyFont="1" applyFill="1" applyBorder="1" applyAlignment="1">
      <alignment/>
    </xf>
    <xf numFmtId="0" fontId="27" fillId="0" borderId="0" xfId="0" applyFont="1" applyFill="1" applyBorder="1" applyAlignment="1">
      <alignment horizontal="center"/>
    </xf>
    <xf numFmtId="179" fontId="27" fillId="0" borderId="0" xfId="18" applyNumberFormat="1" applyFont="1" applyFill="1" applyBorder="1" applyAlignment="1">
      <alignment/>
    </xf>
    <xf numFmtId="0" fontId="21" fillId="0" borderId="0" xfId="0" applyFont="1" applyFill="1" applyBorder="1" applyAlignment="1">
      <alignment/>
    </xf>
    <xf numFmtId="43" fontId="18" fillId="0" borderId="0" xfId="15" applyFont="1" applyFill="1" applyBorder="1" applyAlignment="1">
      <alignment/>
    </xf>
    <xf numFmtId="0" fontId="18" fillId="0" borderId="0" xfId="0" applyFont="1" applyFill="1" applyBorder="1" applyAlignment="1">
      <alignment horizontal="left" indent="1"/>
    </xf>
    <xf numFmtId="3" fontId="27" fillId="0" borderId="0" xfId="0" applyNumberFormat="1" applyFont="1" applyFill="1" applyBorder="1" applyAlignment="1">
      <alignment/>
    </xf>
    <xf numFmtId="38" fontId="27" fillId="0" borderId="0" xfId="18" applyNumberFormat="1" applyFont="1" applyFill="1" applyBorder="1" applyAlignment="1">
      <alignment/>
    </xf>
    <xf numFmtId="0" fontId="27" fillId="0" borderId="0" xfId="0" applyFont="1" applyFill="1" applyBorder="1" applyAlignment="1">
      <alignment horizontal="left" indent="3"/>
    </xf>
    <xf numFmtId="1" fontId="27" fillId="0" borderId="0" xfId="0" applyNumberFormat="1" applyFont="1" applyFill="1" applyBorder="1" applyAlignment="1">
      <alignment/>
    </xf>
    <xf numFmtId="0" fontId="18" fillId="0" borderId="0" xfId="0" applyFont="1" applyFill="1" applyBorder="1" applyAlignment="1">
      <alignment horizontal="right"/>
    </xf>
    <xf numFmtId="179" fontId="18" fillId="0" borderId="0" xfId="18" applyNumberFormat="1" applyFont="1" applyFill="1" applyBorder="1" applyAlignment="1">
      <alignment/>
    </xf>
    <xf numFmtId="43" fontId="27" fillId="0" borderId="0" xfId="15" applyFont="1" applyFill="1" applyBorder="1" applyAlignment="1">
      <alignment/>
    </xf>
    <xf numFmtId="0" fontId="53" fillId="0" borderId="0" xfId="0" applyFont="1" applyAlignment="1">
      <alignment horizontal="left" indent="3"/>
    </xf>
    <xf numFmtId="179" fontId="27" fillId="0" borderId="0" xfId="0" applyNumberFormat="1" applyFont="1" applyFill="1" applyBorder="1" applyAlignment="1">
      <alignment/>
    </xf>
    <xf numFmtId="0" fontId="55" fillId="0" borderId="0" xfId="0" applyFont="1" applyAlignment="1" applyProtection="1">
      <alignment/>
      <protection/>
    </xf>
    <xf numFmtId="0" fontId="56" fillId="0" borderId="0" xfId="0" applyFont="1" applyBorder="1" applyAlignment="1" applyProtection="1">
      <alignment/>
      <protection/>
    </xf>
    <xf numFmtId="0" fontId="56" fillId="0" borderId="0" xfId="0" applyFont="1" applyAlignment="1" applyProtection="1">
      <alignment/>
      <protection/>
    </xf>
    <xf numFmtId="165" fontId="18" fillId="0" borderId="0" xfId="15" applyNumberFormat="1" applyFont="1" applyFill="1" applyBorder="1" applyAlignment="1" applyProtection="1">
      <alignment horizontal="right" vertical="center"/>
      <protection/>
    </xf>
    <xf numFmtId="179" fontId="27" fillId="0" borderId="0" xfId="0" applyNumberFormat="1" applyFont="1" applyFill="1" applyAlignment="1">
      <alignment/>
    </xf>
    <xf numFmtId="37" fontId="27" fillId="0" borderId="0" xfId="0" applyNumberFormat="1" applyFont="1" applyFill="1" applyAlignment="1">
      <alignment/>
    </xf>
    <xf numFmtId="0" fontId="18" fillId="0" borderId="2" xfId="0" applyFont="1" applyFill="1" applyBorder="1" applyAlignment="1">
      <alignment horizontal="left"/>
    </xf>
    <xf numFmtId="0" fontId="18" fillId="0" borderId="2" xfId="0" applyFont="1" applyFill="1" applyBorder="1" applyAlignment="1">
      <alignment/>
    </xf>
    <xf numFmtId="0" fontId="27" fillId="0" borderId="0" xfId="0" applyFont="1" applyFill="1" applyAlignment="1">
      <alignment horizontal="left"/>
    </xf>
    <xf numFmtId="0" fontId="39" fillId="4" borderId="10" xfId="0" applyFont="1" applyFill="1" applyBorder="1" applyAlignment="1">
      <alignment horizontal="left"/>
    </xf>
    <xf numFmtId="0" fontId="39" fillId="4" borderId="11" xfId="0" applyFont="1" applyFill="1" applyBorder="1" applyAlignment="1">
      <alignment/>
    </xf>
    <xf numFmtId="173" fontId="39" fillId="4" borderId="12" xfId="0" applyNumberFormat="1" applyFont="1" applyFill="1" applyBorder="1" applyAlignment="1" applyProtection="1">
      <alignment/>
      <protection/>
    </xf>
    <xf numFmtId="0" fontId="27" fillId="5" borderId="6" xfId="0" applyFont="1" applyFill="1" applyBorder="1" applyAlignment="1">
      <alignment horizontal="left"/>
    </xf>
    <xf numFmtId="177" fontId="15" fillId="5" borderId="2" xfId="0" applyNumberFormat="1" applyFont="1" applyFill="1" applyBorder="1" applyAlignment="1">
      <alignment horizontal="left"/>
    </xf>
    <xf numFmtId="0" fontId="15" fillId="5" borderId="2" xfId="0" applyFont="1" applyFill="1" applyBorder="1" applyAlignment="1">
      <alignment horizontal="center"/>
    </xf>
    <xf numFmtId="179" fontId="27" fillId="5" borderId="2" xfId="18" applyNumberFormat="1" applyFont="1" applyFill="1" applyBorder="1" applyAlignment="1">
      <alignment/>
    </xf>
    <xf numFmtId="0" fontId="27" fillId="5" borderId="2" xfId="0" applyFont="1" applyFill="1" applyBorder="1" applyAlignment="1">
      <alignment/>
    </xf>
    <xf numFmtId="179" fontId="27" fillId="5" borderId="2" xfId="18" applyNumberFormat="1" applyFont="1" applyFill="1" applyBorder="1" applyAlignment="1">
      <alignment horizontal="right"/>
    </xf>
    <xf numFmtId="15" fontId="15" fillId="5" borderId="7" xfId="0" applyNumberFormat="1" applyFont="1" applyFill="1" applyBorder="1" applyAlignment="1" applyProtection="1">
      <alignment horizontal="right"/>
      <protection/>
    </xf>
    <xf numFmtId="0" fontId="27" fillId="5" borderId="8" xfId="0" applyFont="1" applyFill="1" applyBorder="1" applyAlignment="1">
      <alignment horizontal="left"/>
    </xf>
    <xf numFmtId="0" fontId="15" fillId="5" borderId="0" xfId="0" applyFont="1" applyFill="1" applyBorder="1" applyAlignment="1">
      <alignment horizontal="left"/>
    </xf>
    <xf numFmtId="0" fontId="27" fillId="5" borderId="0" xfId="0" applyFont="1" applyFill="1" applyBorder="1" applyAlignment="1">
      <alignment horizontal="left"/>
    </xf>
    <xf numFmtId="179" fontId="27" fillId="5" borderId="0" xfId="18" applyNumberFormat="1" applyFont="1" applyFill="1" applyBorder="1" applyAlignment="1">
      <alignment/>
    </xf>
    <xf numFmtId="0" fontId="27" fillId="5" borderId="0" xfId="0" applyFont="1" applyFill="1" applyBorder="1" applyAlignment="1">
      <alignment/>
    </xf>
    <xf numFmtId="179" fontId="29" fillId="5" borderId="0" xfId="18" applyNumberFormat="1" applyFont="1" applyFill="1" applyBorder="1" applyAlignment="1" applyProtection="1">
      <alignment horizontal="right"/>
      <protection/>
    </xf>
    <xf numFmtId="0" fontId="15" fillId="5" borderId="9" xfId="0" applyNumberFormat="1" applyFont="1" applyFill="1" applyBorder="1" applyAlignment="1" quotePrefix="1">
      <alignment horizontal="right"/>
    </xf>
    <xf numFmtId="179" fontId="29" fillId="5" borderId="0" xfId="18" applyNumberFormat="1" applyFont="1" applyFill="1" applyBorder="1" applyAlignment="1">
      <alignment horizontal="right"/>
    </xf>
    <xf numFmtId="15" fontId="15" fillId="5" borderId="9" xfId="0" applyNumberFormat="1" applyFont="1" applyFill="1" applyBorder="1" applyAlignment="1">
      <alignment horizontal="right" vertical="center"/>
    </xf>
    <xf numFmtId="0" fontId="27" fillId="5" borderId="10" xfId="0" applyFont="1" applyFill="1" applyBorder="1" applyAlignment="1">
      <alignment horizontal="left"/>
    </xf>
    <xf numFmtId="0" fontId="30" fillId="5" borderId="11" xfId="0" applyFont="1" applyFill="1" applyBorder="1" applyAlignment="1">
      <alignment horizontal="left"/>
    </xf>
    <xf numFmtId="0" fontId="15" fillId="5" borderId="11" xfId="0" applyFont="1" applyFill="1" applyBorder="1" applyAlignment="1">
      <alignment horizontal="left"/>
    </xf>
    <xf numFmtId="179" fontId="27" fillId="5" borderId="11" xfId="18" applyNumberFormat="1" applyFont="1" applyFill="1" applyBorder="1" applyAlignment="1">
      <alignment/>
    </xf>
    <xf numFmtId="0" fontId="27" fillId="5" borderId="11" xfId="0" applyFont="1" applyFill="1" applyBorder="1" applyAlignment="1">
      <alignment/>
    </xf>
    <xf numFmtId="179" fontId="29" fillId="5" borderId="11" xfId="18" applyNumberFormat="1" applyFont="1" applyFill="1" applyBorder="1" applyAlignment="1">
      <alignment horizontal="right"/>
    </xf>
    <xf numFmtId="3" fontId="31" fillId="5" borderId="12" xfId="0" applyNumberFormat="1" applyFont="1" applyFill="1" applyBorder="1" applyAlignment="1">
      <alignment horizontal="right"/>
    </xf>
    <xf numFmtId="0" fontId="27" fillId="5" borderId="11" xfId="0" applyFont="1" applyFill="1" applyBorder="1" applyAlignment="1">
      <alignment horizontal="left"/>
    </xf>
    <xf numFmtId="3" fontId="31" fillId="5" borderId="11" xfId="0" applyNumberFormat="1" applyFont="1" applyFill="1" applyBorder="1" applyAlignment="1">
      <alignment horizontal="right"/>
    </xf>
    <xf numFmtId="0" fontId="34" fillId="0" borderId="2" xfId="0" applyFont="1" applyFill="1" applyBorder="1" applyAlignment="1">
      <alignment horizontal="right"/>
    </xf>
    <xf numFmtId="0" fontId="29" fillId="0" borderId="0" xfId="0" applyFont="1" applyFill="1" applyBorder="1" applyAlignment="1">
      <alignment horizontal="right"/>
    </xf>
    <xf numFmtId="0" fontId="18" fillId="0" borderId="2" xfId="0" applyFont="1" applyBorder="1" applyAlignment="1">
      <alignment horizontal="right"/>
    </xf>
    <xf numFmtId="0" fontId="33" fillId="0" borderId="2" xfId="0" applyFont="1" applyBorder="1" applyAlignment="1">
      <alignment horizontal="right"/>
    </xf>
    <xf numFmtId="0" fontId="29" fillId="0" borderId="0" xfId="0" applyFont="1" applyBorder="1" applyAlignment="1">
      <alignment horizontal="right"/>
    </xf>
    <xf numFmtId="189" fontId="18" fillId="0" borderId="2" xfId="18" applyNumberFormat="1" applyFont="1" applyBorder="1" applyAlignment="1">
      <alignment horizontal="right"/>
    </xf>
    <xf numFmtId="43" fontId="27" fillId="0" borderId="0" xfId="15" applyFont="1" applyAlignment="1">
      <alignment horizontal="right"/>
    </xf>
    <xf numFmtId="42" fontId="29" fillId="0" borderId="0" xfId="0" applyNumberFormat="1" applyFont="1" applyFill="1" applyBorder="1" applyAlignment="1" applyProtection="1">
      <alignment horizontal="right"/>
      <protection/>
    </xf>
    <xf numFmtId="0" fontId="31" fillId="0" borderId="8" xfId="0" applyFont="1" applyFill="1" applyBorder="1" applyAlignment="1">
      <alignment horizontal="right"/>
    </xf>
    <xf numFmtId="3" fontId="59" fillId="0" borderId="18" xfId="0" applyNumberFormat="1" applyFont="1" applyFill="1" applyBorder="1" applyAlignment="1" applyProtection="1">
      <alignment/>
      <protection/>
    </xf>
    <xf numFmtId="0" fontId="60" fillId="0" borderId="19" xfId="0" applyFont="1" applyFill="1" applyBorder="1" applyAlignment="1">
      <alignment/>
    </xf>
    <xf numFmtId="0" fontId="64" fillId="0" borderId="0" xfId="0" applyFont="1" applyAlignment="1" applyProtection="1">
      <alignment/>
      <protection/>
    </xf>
    <xf numFmtId="15" fontId="18" fillId="0" borderId="0" xfId="15" applyNumberFormat="1" applyFont="1" applyFill="1" applyBorder="1" applyAlignment="1" applyProtection="1">
      <alignment horizontal="right" vertical="center"/>
      <protection/>
    </xf>
    <xf numFmtId="0" fontId="0" fillId="0" borderId="0" xfId="0" applyAlignment="1">
      <alignment wrapText="1"/>
    </xf>
    <xf numFmtId="0" fontId="0" fillId="6" borderId="0" xfId="0" applyFill="1" applyAlignment="1">
      <alignment wrapText="1"/>
    </xf>
    <xf numFmtId="0" fontId="18" fillId="6" borderId="0" xfId="0" applyFont="1" applyFill="1" applyAlignment="1">
      <alignment wrapText="1"/>
    </xf>
    <xf numFmtId="0" fontId="0" fillId="0" borderId="0" xfId="0" applyAlignment="1">
      <alignment vertical="top"/>
    </xf>
    <xf numFmtId="3" fontId="0" fillId="0" borderId="0" xfId="0" applyNumberFormat="1" applyAlignment="1">
      <alignment vertical="top"/>
    </xf>
    <xf numFmtId="0" fontId="27" fillId="0" borderId="0" xfId="0" applyFont="1" applyAlignment="1">
      <alignment vertical="top"/>
    </xf>
    <xf numFmtId="0" fontId="18" fillId="0" borderId="0" xfId="0" applyFont="1" applyAlignment="1">
      <alignment vertical="top"/>
    </xf>
    <xf numFmtId="0" fontId="18" fillId="6" borderId="0" xfId="0" applyFont="1" applyFill="1" applyAlignment="1">
      <alignment vertical="top" wrapText="1"/>
    </xf>
    <xf numFmtId="0" fontId="0" fillId="0" borderId="0" xfId="0" applyAlignment="1">
      <alignment horizontal="center" vertical="top" wrapText="1"/>
    </xf>
    <xf numFmtId="0" fontId="18" fillId="0" borderId="0" xfId="0" applyFont="1" applyFill="1" applyAlignment="1">
      <alignment vertical="top" wrapText="1"/>
    </xf>
    <xf numFmtId="3" fontId="27" fillId="0" borderId="0" xfId="0" applyNumberFormat="1" applyFont="1" applyAlignment="1">
      <alignment vertical="top"/>
    </xf>
    <xf numFmtId="0" fontId="18" fillId="0" borderId="0" xfId="0" applyFont="1" applyFill="1" applyAlignment="1">
      <alignment vertical="top"/>
    </xf>
    <xf numFmtId="0" fontId="27" fillId="0" borderId="0" xfId="0" applyFont="1" applyFill="1" applyAlignment="1">
      <alignment vertical="top"/>
    </xf>
    <xf numFmtId="3" fontId="27" fillId="0" borderId="0" xfId="0" applyNumberFormat="1" applyFont="1" applyFill="1" applyAlignment="1">
      <alignment vertical="top"/>
    </xf>
    <xf numFmtId="0" fontId="27" fillId="6" borderId="0" xfId="0" applyFont="1" applyFill="1" applyAlignment="1">
      <alignment wrapText="1"/>
    </xf>
    <xf numFmtId="0" fontId="27" fillId="6" borderId="0" xfId="0" applyFont="1" applyFill="1" applyAlignment="1">
      <alignment vertical="top" wrapText="1"/>
    </xf>
    <xf numFmtId="0" fontId="0" fillId="6" borderId="0" xfId="0" applyFill="1" applyAlignment="1">
      <alignment horizontal="left" vertical="top" wrapText="1"/>
    </xf>
    <xf numFmtId="0" fontId="0" fillId="6" borderId="0" xfId="0" applyFill="1" applyAlignment="1">
      <alignment vertical="top" wrapText="1"/>
    </xf>
    <xf numFmtId="0" fontId="18" fillId="6" borderId="0" xfId="0" applyFont="1" applyFill="1" applyAlignment="1">
      <alignment vertical="top"/>
    </xf>
    <xf numFmtId="42" fontId="29" fillId="0" borderId="20" xfId="0" applyNumberFormat="1" applyFont="1" applyFill="1" applyBorder="1" applyAlignment="1" applyProtection="1">
      <alignment horizontal="right"/>
      <protection/>
    </xf>
    <xf numFmtId="0" fontId="27" fillId="0" borderId="16" xfId="0" applyFont="1" applyFill="1" applyBorder="1" applyAlignment="1">
      <alignment horizontal="center"/>
    </xf>
    <xf numFmtId="3" fontId="18" fillId="0" borderId="17" xfId="0" applyNumberFormat="1" applyFont="1" applyFill="1" applyBorder="1" applyAlignment="1" applyProtection="1">
      <alignment/>
      <protection/>
    </xf>
    <xf numFmtId="3" fontId="18" fillId="0" borderId="9" xfId="0" applyNumberFormat="1" applyFont="1" applyFill="1" applyBorder="1" applyAlignment="1" applyProtection="1">
      <alignment/>
      <protection/>
    </xf>
    <xf numFmtId="0" fontId="31" fillId="0" borderId="8" xfId="0" applyFont="1" applyFill="1" applyBorder="1" applyAlignment="1">
      <alignment/>
    </xf>
    <xf numFmtId="3" fontId="39" fillId="0" borderId="18" xfId="0" applyNumberFormat="1" applyFont="1" applyFill="1" applyBorder="1" applyAlignment="1" applyProtection="1">
      <alignment/>
      <protection/>
    </xf>
    <xf numFmtId="42" fontId="49" fillId="0" borderId="18" xfId="0" applyNumberFormat="1" applyFont="1" applyFill="1" applyBorder="1" applyAlignment="1" applyProtection="1">
      <alignment/>
      <protection/>
    </xf>
    <xf numFmtId="42" fontId="27" fillId="0" borderId="0" xfId="0" applyNumberFormat="1" applyFont="1" applyFill="1" applyAlignment="1">
      <alignment/>
    </xf>
    <xf numFmtId="10" fontId="29" fillId="0" borderId="0" xfId="29" applyNumberFormat="1" applyFont="1" applyFill="1" applyBorder="1" applyAlignment="1" applyProtection="1">
      <alignment horizontal="center"/>
      <protection/>
    </xf>
    <xf numFmtId="10" fontId="50" fillId="0" borderId="0" xfId="29" applyNumberFormat="1" applyFont="1" applyFill="1" applyBorder="1" applyAlignment="1" applyProtection="1">
      <alignment horizontal="center"/>
      <protection/>
    </xf>
    <xf numFmtId="0" fontId="21" fillId="0" borderId="0" xfId="0" applyFont="1" applyFill="1" applyBorder="1" applyAlignment="1">
      <alignment horizontal="left" indent="2"/>
    </xf>
    <xf numFmtId="42" fontId="29" fillId="0" borderId="0" xfId="0" applyNumberFormat="1" applyFont="1" applyFill="1" applyBorder="1" applyAlignment="1" applyProtection="1">
      <alignment horizontal="left"/>
      <protection/>
    </xf>
    <xf numFmtId="179" fontId="27" fillId="0" borderId="0" xfId="0" applyNumberFormat="1" applyFont="1" applyAlignment="1">
      <alignment/>
    </xf>
    <xf numFmtId="42" fontId="18" fillId="0" borderId="19" xfId="0" applyNumberFormat="1" applyFont="1" applyFill="1" applyBorder="1" applyAlignment="1">
      <alignment horizontal="right"/>
    </xf>
    <xf numFmtId="42" fontId="49" fillId="0" borderId="21" xfId="0" applyNumberFormat="1" applyFont="1" applyFill="1" applyBorder="1" applyAlignment="1" applyProtection="1">
      <alignment/>
      <protection/>
    </xf>
    <xf numFmtId="42" fontId="50" fillId="0" borderId="20" xfId="0" applyNumberFormat="1" applyFont="1" applyFill="1" applyBorder="1" applyAlignment="1" applyProtection="1">
      <alignment horizontal="right"/>
      <protection/>
    </xf>
    <xf numFmtId="42" fontId="62" fillId="0" borderId="20" xfId="0" applyNumberFormat="1" applyFont="1" applyFill="1" applyBorder="1" applyAlignment="1" applyProtection="1">
      <alignment horizontal="right"/>
      <protection/>
    </xf>
    <xf numFmtId="0" fontId="27" fillId="0" borderId="20" xfId="0" applyFont="1" applyFill="1" applyBorder="1" applyAlignment="1">
      <alignment/>
    </xf>
    <xf numFmtId="179" fontId="50" fillId="0" borderId="20" xfId="18" applyNumberFormat="1" applyFont="1" applyFill="1" applyBorder="1" applyAlignment="1" applyProtection="1">
      <alignment horizontal="right"/>
      <protection/>
    </xf>
    <xf numFmtId="179" fontId="65" fillId="0" borderId="20" xfId="18" applyNumberFormat="1" applyFont="1" applyFill="1" applyBorder="1" applyAlignment="1" applyProtection="1">
      <alignment horizontal="right"/>
      <protection/>
    </xf>
    <xf numFmtId="179" fontId="50" fillId="0" borderId="20" xfId="18" applyNumberFormat="1" applyFont="1" applyFill="1" applyBorder="1" applyAlignment="1" applyProtection="1">
      <alignment horizontal="left"/>
      <protection/>
    </xf>
    <xf numFmtId="0" fontId="59" fillId="0" borderId="18" xfId="0" applyFont="1" applyFill="1" applyBorder="1" applyAlignment="1">
      <alignment/>
    </xf>
    <xf numFmtId="42" fontId="62" fillId="0" borderId="22" xfId="0" applyNumberFormat="1" applyFont="1" applyFill="1" applyBorder="1" applyAlignment="1" applyProtection="1">
      <alignment horizontal="right"/>
      <protection/>
    </xf>
    <xf numFmtId="179" fontId="65" fillId="0" borderId="18" xfId="18" applyNumberFormat="1" applyFont="1" applyFill="1" applyBorder="1" applyAlignment="1" applyProtection="1">
      <alignment horizontal="right"/>
      <protection/>
    </xf>
    <xf numFmtId="42" fontId="49" fillId="0" borderId="18" xfId="0" applyNumberFormat="1" applyFont="1" applyBorder="1" applyAlignment="1" applyProtection="1">
      <alignment/>
      <protection/>
    </xf>
    <xf numFmtId="3" fontId="59" fillId="0" borderId="18" xfId="0" applyNumberFormat="1" applyFont="1" applyBorder="1" applyAlignment="1" applyProtection="1">
      <alignment/>
      <protection/>
    </xf>
    <xf numFmtId="3" fontId="49" fillId="0" borderId="18" xfId="0" applyNumberFormat="1" applyFont="1" applyBorder="1" applyAlignment="1" applyProtection="1">
      <alignment/>
      <protection/>
    </xf>
    <xf numFmtId="3" fontId="39" fillId="0" borderId="18" xfId="0" applyNumberFormat="1" applyFont="1" applyBorder="1" applyAlignment="1" applyProtection="1">
      <alignment/>
      <protection/>
    </xf>
    <xf numFmtId="42" fontId="29" fillId="0" borderId="20" xfId="0" applyNumberFormat="1" applyFont="1" applyFill="1" applyBorder="1" applyAlignment="1">
      <alignment horizontal="right"/>
    </xf>
    <xf numFmtId="42" fontId="62" fillId="0" borderId="20" xfId="0" applyNumberFormat="1" applyFont="1" applyFill="1" applyBorder="1" applyAlignment="1">
      <alignment/>
    </xf>
    <xf numFmtId="42" fontId="15" fillId="0" borderId="22" xfId="0" applyNumberFormat="1" applyFont="1" applyFill="1" applyBorder="1" applyAlignment="1" applyProtection="1">
      <alignment horizontal="right"/>
      <protection/>
    </xf>
    <xf numFmtId="42" fontId="63" fillId="0" borderId="22" xfId="0" applyNumberFormat="1" applyFont="1" applyFill="1" applyBorder="1" applyAlignment="1" applyProtection="1">
      <alignment/>
      <protection/>
    </xf>
    <xf numFmtId="42" fontId="59" fillId="0" borderId="21" xfId="0" applyNumberFormat="1" applyFont="1" applyBorder="1" applyAlignment="1">
      <alignment/>
    </xf>
    <xf numFmtId="0" fontId="29" fillId="0" borderId="20" xfId="0" applyFont="1" applyFill="1" applyBorder="1" applyAlignment="1">
      <alignment horizontal="right"/>
    </xf>
    <xf numFmtId="42" fontId="61" fillId="0" borderId="20" xfId="0" applyNumberFormat="1" applyFont="1" applyFill="1" applyBorder="1" applyAlignment="1">
      <alignment/>
    </xf>
    <xf numFmtId="42" fontId="59" fillId="0" borderId="18" xfId="0" applyNumberFormat="1" applyFont="1" applyBorder="1" applyAlignment="1" applyProtection="1">
      <alignment/>
      <protection/>
    </xf>
    <xf numFmtId="3" fontId="29" fillId="0" borderId="20" xfId="0" applyNumberFormat="1" applyFont="1" applyFill="1" applyBorder="1" applyAlignment="1" applyProtection="1">
      <alignment horizontal="right"/>
      <protection/>
    </xf>
    <xf numFmtId="42" fontId="61" fillId="0" borderId="20" xfId="0" applyNumberFormat="1" applyFont="1" applyFill="1" applyBorder="1" applyAlignment="1" applyProtection="1">
      <alignment/>
      <protection/>
    </xf>
    <xf numFmtId="42" fontId="59" fillId="0" borderId="18" xfId="0" applyNumberFormat="1" applyFont="1" applyFill="1" applyBorder="1" applyAlignment="1" applyProtection="1">
      <alignment/>
      <protection/>
    </xf>
    <xf numFmtId="3" fontId="15" fillId="0" borderId="22" xfId="0" applyNumberFormat="1" applyFont="1" applyFill="1" applyBorder="1" applyAlignment="1" applyProtection="1">
      <alignment horizontal="right"/>
      <protection/>
    </xf>
    <xf numFmtId="42" fontId="60" fillId="0" borderId="22" xfId="0" applyNumberFormat="1" applyFont="1" applyFill="1" applyBorder="1" applyAlignment="1" applyProtection="1">
      <alignment horizontal="center"/>
      <protection/>
    </xf>
    <xf numFmtId="42" fontId="61" fillId="0" borderId="20" xfId="0" applyNumberFormat="1" applyFont="1" applyFill="1" applyBorder="1" applyAlignment="1" applyProtection="1">
      <alignment horizontal="right"/>
      <protection/>
    </xf>
    <xf numFmtId="42" fontId="59" fillId="0" borderId="21" xfId="0" applyNumberFormat="1" applyFont="1" applyBorder="1" applyAlignment="1" applyProtection="1">
      <alignment/>
      <protection/>
    </xf>
    <xf numFmtId="3" fontId="29" fillId="0" borderId="19" xfId="0" applyNumberFormat="1" applyFont="1" applyFill="1" applyBorder="1" applyAlignment="1" applyProtection="1">
      <alignment horizontal="right"/>
      <protection/>
    </xf>
    <xf numFmtId="42" fontId="60" fillId="0" borderId="19" xfId="0" applyNumberFormat="1" applyFont="1" applyFill="1" applyBorder="1" applyAlignment="1" applyProtection="1">
      <alignment horizontal="center"/>
      <protection/>
    </xf>
    <xf numFmtId="0" fontId="59" fillId="0" borderId="21" xfId="0" applyFont="1" applyBorder="1" applyAlignment="1">
      <alignment/>
    </xf>
    <xf numFmtId="42" fontId="60" fillId="0" borderId="20" xfId="0" applyNumberFormat="1" applyFont="1" applyFill="1" applyBorder="1" applyAlignment="1" applyProtection="1">
      <alignment horizontal="center"/>
      <protection/>
    </xf>
    <xf numFmtId="0" fontId="59" fillId="0" borderId="18" xfId="0" applyFont="1" applyBorder="1" applyAlignment="1">
      <alignment/>
    </xf>
    <xf numFmtId="179" fontId="39" fillId="4" borderId="23" xfId="0" applyNumberFormat="1" applyFont="1" applyFill="1" applyBorder="1" applyAlignment="1">
      <alignment horizontal="right"/>
    </xf>
    <xf numFmtId="42" fontId="39" fillId="4" borderId="23" xfId="0" applyNumberFormat="1" applyFont="1" applyFill="1" applyBorder="1" applyAlignment="1" applyProtection="1">
      <alignment horizontal="center"/>
      <protection/>
    </xf>
    <xf numFmtId="173" fontId="39" fillId="4" borderId="24" xfId="0" applyNumberFormat="1" applyFont="1" applyFill="1" applyBorder="1" applyAlignment="1" applyProtection="1">
      <alignment/>
      <protection/>
    </xf>
    <xf numFmtId="0" fontId="49" fillId="0" borderId="25" xfId="0" applyFont="1" applyFill="1" applyBorder="1" applyAlignment="1">
      <alignment horizontal="center"/>
    </xf>
    <xf numFmtId="0" fontId="60" fillId="0" borderId="25" xfId="0" applyFont="1" applyFill="1" applyBorder="1" applyAlignment="1">
      <alignment horizontal="center"/>
    </xf>
    <xf numFmtId="0" fontId="18" fillId="0" borderId="26"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0" xfId="0" applyFont="1" applyFill="1" applyBorder="1" applyAlignment="1">
      <alignment horizontal="center"/>
    </xf>
    <xf numFmtId="0" fontId="61" fillId="0" borderId="20" xfId="0" applyFont="1" applyFill="1" applyBorder="1" applyAlignment="1">
      <alignment/>
    </xf>
    <xf numFmtId="0" fontId="40" fillId="0" borderId="18" xfId="0" applyFont="1" applyFill="1" applyBorder="1" applyAlignment="1">
      <alignment horizontal="center" vertical="center"/>
    </xf>
    <xf numFmtId="0" fontId="18" fillId="0" borderId="22" xfId="0" applyFont="1" applyFill="1" applyBorder="1" applyAlignment="1">
      <alignment horizontal="center"/>
    </xf>
    <xf numFmtId="0" fontId="60" fillId="0" borderId="22" xfId="0" applyFont="1" applyFill="1" applyBorder="1" applyAlignment="1">
      <alignment/>
    </xf>
    <xf numFmtId="3" fontId="40" fillId="0" borderId="27" xfId="0" applyNumberFormat="1" applyFont="1" applyFill="1" applyBorder="1" applyAlignment="1" applyProtection="1">
      <alignment/>
      <protection/>
    </xf>
    <xf numFmtId="0" fontId="18" fillId="0" borderId="19" xfId="0" applyFont="1" applyFill="1" applyBorder="1" applyAlignment="1">
      <alignment horizontal="right"/>
    </xf>
    <xf numFmtId="179" fontId="29" fillId="0" borderId="20" xfId="18" applyNumberFormat="1" applyFont="1" applyFill="1" applyBorder="1" applyAlignment="1" applyProtection="1">
      <alignment horizontal="left"/>
      <protection/>
    </xf>
    <xf numFmtId="179" fontId="38" fillId="0" borderId="20" xfId="18" applyNumberFormat="1" applyFont="1" applyFill="1" applyBorder="1" applyAlignment="1">
      <alignment horizontal="right"/>
    </xf>
    <xf numFmtId="0" fontId="27" fillId="0" borderId="20" xfId="0" applyFont="1" applyFill="1" applyBorder="1" applyAlignment="1">
      <alignment horizontal="right"/>
    </xf>
    <xf numFmtId="0" fontId="18" fillId="0" borderId="22" xfId="0" applyFont="1" applyFill="1" applyBorder="1" applyAlignment="1">
      <alignment horizontal="right"/>
    </xf>
    <xf numFmtId="3" fontId="27" fillId="0" borderId="20" xfId="0" applyNumberFormat="1" applyFont="1" applyFill="1" applyBorder="1" applyAlignment="1" applyProtection="1">
      <alignment horizontal="right"/>
      <protection/>
    </xf>
    <xf numFmtId="0" fontId="18" fillId="0" borderId="20" xfId="0" applyFont="1" applyFill="1" applyBorder="1" applyAlignment="1">
      <alignment horizontal="right"/>
    </xf>
    <xf numFmtId="3" fontId="59" fillId="0" borderId="18" xfId="0" applyNumberFormat="1" applyFont="1" applyBorder="1" applyAlignment="1">
      <alignment/>
    </xf>
    <xf numFmtId="165" fontId="1" fillId="0" borderId="5" xfId="0" applyNumberFormat="1" applyFont="1" applyFill="1" applyBorder="1" applyAlignment="1" applyProtection="1">
      <alignment horizontal="right" vertical="center"/>
      <protection/>
    </xf>
    <xf numFmtId="14" fontId="29" fillId="0" borderId="0" xfId="0" applyNumberFormat="1" applyFont="1" applyBorder="1" applyAlignment="1">
      <alignment horizontal="center"/>
    </xf>
    <xf numFmtId="0" fontId="27" fillId="0" borderId="0" xfId="0" applyFont="1" applyFill="1" applyAlignment="1">
      <alignment horizontal="left" vertical="center" wrapText="1"/>
    </xf>
    <xf numFmtId="0" fontId="0" fillId="0" borderId="0" xfId="0" applyAlignment="1">
      <alignment horizontal="left" vertical="top" wrapText="1" indent="3"/>
    </xf>
    <xf numFmtId="0" fontId="27" fillId="0" borderId="0" xfId="0" applyFont="1" applyAlignment="1">
      <alignment horizontal="left" vertical="top" wrapText="1" indent="3"/>
    </xf>
    <xf numFmtId="0" fontId="27" fillId="0" borderId="0" xfId="0" applyFont="1" applyFill="1" applyAlignment="1">
      <alignment horizontal="left" wrapText="1" indent="3"/>
    </xf>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indent="2"/>
    </xf>
    <xf numFmtId="0" fontId="0" fillId="0" borderId="0" xfId="0" applyAlignment="1">
      <alignment horizontal="left" vertical="top" wrapText="1" indent="1"/>
    </xf>
    <xf numFmtId="0" fontId="27" fillId="0" borderId="0" xfId="0" applyFont="1" applyAlignment="1">
      <alignment horizontal="left" vertical="top" wrapText="1" indent="2"/>
    </xf>
    <xf numFmtId="0" fontId="52" fillId="0" borderId="0" xfId="0" applyFont="1" applyFill="1" applyAlignment="1">
      <alignment horizontal="left" vertical="center" wrapText="1" indent="2"/>
    </xf>
  </cellXfs>
  <cellStyles count="22">
    <cellStyle name="Normal" xfId="0"/>
    <cellStyle name="Comma" xfId="15"/>
    <cellStyle name="Comma [0]" xfId="16"/>
    <cellStyle name="CSI" xfId="17"/>
    <cellStyle name="Currency" xfId="18"/>
    <cellStyle name="Currency [0]" xfId="19"/>
    <cellStyle name="Description" xfId="20"/>
    <cellStyle name="Followed Hyperlink" xfId="21"/>
    <cellStyle name="Hyperlink" xfId="22"/>
    <cellStyle name="Length" xfId="23"/>
    <cellStyle name="MainDescription" xfId="24"/>
    <cellStyle name="Measure" xfId="25"/>
    <cellStyle name="Normal_ReportFormat UCSD 0221" xfId="26"/>
    <cellStyle name="note" xfId="27"/>
    <cellStyle name="Nr" xfId="28"/>
    <cellStyle name="Percent" xfId="29"/>
    <cellStyle name="Rate" xfId="30"/>
    <cellStyle name="Subtotal" xfId="31"/>
    <cellStyle name="sum" xfId="32"/>
    <cellStyle name="Title Row" xfId="33"/>
    <cellStyle name="Total" xfId="34"/>
    <cellStyle name="Unit"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6.emf" /><Relationship Id="rId4" Type="http://schemas.openxmlformats.org/officeDocument/2006/relationships/image" Target="../media/image2.emf" /><Relationship Id="rId5" Type="http://schemas.openxmlformats.org/officeDocument/2006/relationships/image" Target="../media/image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1666875</xdr:colOff>
      <xdr:row>11</xdr:row>
      <xdr:rowOff>9525</xdr:rowOff>
    </xdr:from>
    <xdr:to>
      <xdr:col>6</xdr:col>
      <xdr:colOff>85725</xdr:colOff>
      <xdr:row>11</xdr:row>
      <xdr:rowOff>190500</xdr:rowOff>
    </xdr:to>
    <xdr:pic>
      <xdr:nvPicPr>
        <xdr:cNvPr id="1" name="EstimateStage"/>
        <xdr:cNvPicPr preferRelativeResize="1">
          <a:picLocks noChangeAspect="1"/>
        </xdr:cNvPicPr>
      </xdr:nvPicPr>
      <xdr:blipFill>
        <a:blip r:embed="rId1"/>
        <a:stretch>
          <a:fillRect/>
        </a:stretch>
      </xdr:blipFill>
      <xdr:spPr>
        <a:xfrm>
          <a:off x="1895475" y="2124075"/>
          <a:ext cx="2457450" cy="180975"/>
        </a:xfrm>
        <a:prstGeom prst="rect">
          <a:avLst/>
        </a:prstGeom>
        <a:noFill/>
        <a:ln w="9525" cmpd="sng">
          <a:noFill/>
        </a:ln>
      </xdr:spPr>
    </xdr:pic>
    <xdr:clientData/>
  </xdr:twoCellAnchor>
  <xdr:twoCellAnchor editAs="oneCell">
    <xdr:from>
      <xdr:col>2</xdr:col>
      <xdr:colOff>1666875</xdr:colOff>
      <xdr:row>12</xdr:row>
      <xdr:rowOff>9525</xdr:rowOff>
    </xdr:from>
    <xdr:to>
      <xdr:col>6</xdr:col>
      <xdr:colOff>85725</xdr:colOff>
      <xdr:row>12</xdr:row>
      <xdr:rowOff>190500</xdr:rowOff>
    </xdr:to>
    <xdr:pic>
      <xdr:nvPicPr>
        <xdr:cNvPr id="2" name="EstimateType"/>
        <xdr:cNvPicPr preferRelativeResize="1">
          <a:picLocks noChangeAspect="1"/>
        </xdr:cNvPicPr>
      </xdr:nvPicPr>
      <xdr:blipFill>
        <a:blip r:embed="rId2"/>
        <a:stretch>
          <a:fillRect/>
        </a:stretch>
      </xdr:blipFill>
      <xdr:spPr>
        <a:xfrm>
          <a:off x="1895475" y="2324100"/>
          <a:ext cx="2457450" cy="180975"/>
        </a:xfrm>
        <a:prstGeom prst="rect">
          <a:avLst/>
        </a:prstGeom>
        <a:noFill/>
        <a:ln w="9525" cmpd="sng">
          <a:noFill/>
        </a:ln>
      </xdr:spPr>
    </xdr:pic>
    <xdr:clientData/>
  </xdr:twoCellAnchor>
  <xdr:twoCellAnchor editAs="oneCell">
    <xdr:from>
      <xdr:col>7</xdr:col>
      <xdr:colOff>19050</xdr:colOff>
      <xdr:row>4</xdr:row>
      <xdr:rowOff>9525</xdr:rowOff>
    </xdr:from>
    <xdr:to>
      <xdr:col>7</xdr:col>
      <xdr:colOff>2466975</xdr:colOff>
      <xdr:row>4</xdr:row>
      <xdr:rowOff>190500</xdr:rowOff>
    </xdr:to>
    <xdr:pic>
      <xdr:nvPicPr>
        <xdr:cNvPr id="3" name="LeadEstimator"/>
        <xdr:cNvPicPr preferRelativeResize="1">
          <a:picLocks noChangeAspect="1"/>
        </xdr:cNvPicPr>
      </xdr:nvPicPr>
      <xdr:blipFill>
        <a:blip r:embed="rId3"/>
        <a:stretch>
          <a:fillRect/>
        </a:stretch>
      </xdr:blipFill>
      <xdr:spPr>
        <a:xfrm>
          <a:off x="6019800" y="723900"/>
          <a:ext cx="2447925" cy="180975"/>
        </a:xfrm>
        <a:prstGeom prst="rect">
          <a:avLst/>
        </a:prstGeom>
        <a:noFill/>
        <a:ln w="9525" cmpd="sng">
          <a:noFill/>
        </a:ln>
      </xdr:spPr>
    </xdr:pic>
    <xdr:clientData/>
  </xdr:twoCellAnchor>
  <xdr:twoCellAnchor editAs="oneCell">
    <xdr:from>
      <xdr:col>7</xdr:col>
      <xdr:colOff>19050</xdr:colOff>
      <xdr:row>5</xdr:row>
      <xdr:rowOff>0</xdr:rowOff>
    </xdr:from>
    <xdr:to>
      <xdr:col>7</xdr:col>
      <xdr:colOff>2476500</xdr:colOff>
      <xdr:row>5</xdr:row>
      <xdr:rowOff>180975</xdr:rowOff>
    </xdr:to>
    <xdr:pic>
      <xdr:nvPicPr>
        <xdr:cNvPr id="4" name="Estimator1"/>
        <xdr:cNvPicPr preferRelativeResize="1">
          <a:picLocks noChangeAspect="1"/>
        </xdr:cNvPicPr>
      </xdr:nvPicPr>
      <xdr:blipFill>
        <a:blip r:embed="rId4"/>
        <a:stretch>
          <a:fillRect/>
        </a:stretch>
      </xdr:blipFill>
      <xdr:spPr>
        <a:xfrm>
          <a:off x="6019800" y="914400"/>
          <a:ext cx="2457450" cy="180975"/>
        </a:xfrm>
        <a:prstGeom prst="rect">
          <a:avLst/>
        </a:prstGeom>
        <a:noFill/>
        <a:ln w="9525" cmpd="sng">
          <a:noFill/>
        </a:ln>
      </xdr:spPr>
    </xdr:pic>
    <xdr:clientData/>
  </xdr:twoCellAnchor>
  <xdr:twoCellAnchor editAs="oneCell">
    <xdr:from>
      <xdr:col>7</xdr:col>
      <xdr:colOff>19050</xdr:colOff>
      <xdr:row>6</xdr:row>
      <xdr:rowOff>9525</xdr:rowOff>
    </xdr:from>
    <xdr:to>
      <xdr:col>7</xdr:col>
      <xdr:colOff>2476500</xdr:colOff>
      <xdr:row>6</xdr:row>
      <xdr:rowOff>190500</xdr:rowOff>
    </xdr:to>
    <xdr:pic>
      <xdr:nvPicPr>
        <xdr:cNvPr id="5" name="Estimator2"/>
        <xdr:cNvPicPr preferRelativeResize="1">
          <a:picLocks noChangeAspect="1"/>
        </xdr:cNvPicPr>
      </xdr:nvPicPr>
      <xdr:blipFill>
        <a:blip r:embed="rId4"/>
        <a:stretch>
          <a:fillRect/>
        </a:stretch>
      </xdr:blipFill>
      <xdr:spPr>
        <a:xfrm>
          <a:off x="6019800" y="1123950"/>
          <a:ext cx="2457450" cy="180975"/>
        </a:xfrm>
        <a:prstGeom prst="rect">
          <a:avLst/>
        </a:prstGeom>
        <a:noFill/>
        <a:ln w="9525" cmpd="sng">
          <a:noFill/>
        </a:ln>
      </xdr:spPr>
    </xdr:pic>
    <xdr:clientData/>
  </xdr:twoCellAnchor>
  <xdr:twoCellAnchor editAs="oneCell">
    <xdr:from>
      <xdr:col>7</xdr:col>
      <xdr:colOff>19050</xdr:colOff>
      <xdr:row>7</xdr:row>
      <xdr:rowOff>9525</xdr:rowOff>
    </xdr:from>
    <xdr:to>
      <xdr:col>7</xdr:col>
      <xdr:colOff>2476500</xdr:colOff>
      <xdr:row>7</xdr:row>
      <xdr:rowOff>180975</xdr:rowOff>
    </xdr:to>
    <xdr:pic>
      <xdr:nvPicPr>
        <xdr:cNvPr id="6" name="Estimator3"/>
        <xdr:cNvPicPr preferRelativeResize="1">
          <a:picLocks noChangeAspect="1"/>
        </xdr:cNvPicPr>
      </xdr:nvPicPr>
      <xdr:blipFill>
        <a:blip r:embed="rId5"/>
        <a:stretch>
          <a:fillRect/>
        </a:stretch>
      </xdr:blipFill>
      <xdr:spPr>
        <a:xfrm>
          <a:off x="6019800" y="1323975"/>
          <a:ext cx="2457450" cy="171450"/>
        </a:xfrm>
        <a:prstGeom prst="rect">
          <a:avLst/>
        </a:prstGeom>
        <a:noFill/>
        <a:ln w="9525" cmpd="sng">
          <a:noFill/>
        </a:ln>
      </xdr:spPr>
    </xdr:pic>
    <xdr:clientData/>
  </xdr:twoCellAnchor>
  <xdr:twoCellAnchor editAs="oneCell">
    <xdr:from>
      <xdr:col>7</xdr:col>
      <xdr:colOff>19050</xdr:colOff>
      <xdr:row>8</xdr:row>
      <xdr:rowOff>9525</xdr:rowOff>
    </xdr:from>
    <xdr:to>
      <xdr:col>7</xdr:col>
      <xdr:colOff>2476500</xdr:colOff>
      <xdr:row>8</xdr:row>
      <xdr:rowOff>180975</xdr:rowOff>
    </xdr:to>
    <xdr:pic>
      <xdr:nvPicPr>
        <xdr:cNvPr id="7" name="Estimator4"/>
        <xdr:cNvPicPr preferRelativeResize="1">
          <a:picLocks noChangeAspect="1"/>
        </xdr:cNvPicPr>
      </xdr:nvPicPr>
      <xdr:blipFill>
        <a:blip r:embed="rId5"/>
        <a:stretch>
          <a:fillRect/>
        </a:stretch>
      </xdr:blipFill>
      <xdr:spPr>
        <a:xfrm>
          <a:off x="6019800" y="1524000"/>
          <a:ext cx="2457450"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120</xdr:row>
      <xdr:rowOff>0</xdr:rowOff>
    </xdr:from>
    <xdr:to>
      <xdr:col>8</xdr:col>
      <xdr:colOff>0</xdr:colOff>
      <xdr:row>120</xdr:row>
      <xdr:rowOff>0</xdr:rowOff>
    </xdr:to>
    <xdr:sp>
      <xdr:nvSpPr>
        <xdr:cNvPr id="1" name="Line 1"/>
        <xdr:cNvSpPr>
          <a:spLocks/>
        </xdr:cNvSpPr>
      </xdr:nvSpPr>
      <xdr:spPr>
        <a:xfrm flipH="1">
          <a:off x="7467600" y="20574000"/>
          <a:ext cx="0" cy="0"/>
        </a:xfrm>
        <a:prstGeom prst="line">
          <a:avLst/>
        </a:prstGeom>
        <a:noFill/>
        <a:ln w="9525"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1st%20PDRIVE\01%20JOBS%20Open\29081.000%20Palmer%20LSI\Est%20SD\SD%20Final\Site\Site%20Est%20Rev%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DataJack\My%20Jobs\21345.700%20L%20Bldg%20VSBA\C%20Model%20Final%20je%20jh%200205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1st%20PDRIVE\01%20JOBS%20Closed\2002\21345.010%20LSI%20CCD%2019\CCd%2019%20R0%20je%200917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imate"/>
      <sheetName val="Quantities"/>
    </sheetNames>
    <sheetDataSet>
      <sheetData sheetId="0">
        <row r="270">
          <cell r="J270" t="str">
            <v>SUPERST</v>
          </cell>
          <cell r="K270">
            <v>0</v>
          </cell>
        </row>
        <row r="271">
          <cell r="J271" t="str">
            <v>SUBSTR</v>
          </cell>
          <cell r="K271">
            <v>0</v>
          </cell>
        </row>
        <row r="272">
          <cell r="J272" t="str">
            <v>EXT CLOS</v>
          </cell>
          <cell r="K272">
            <v>0</v>
          </cell>
        </row>
        <row r="273">
          <cell r="J273" t="str">
            <v>ROOFING</v>
          </cell>
          <cell r="K273">
            <v>0</v>
          </cell>
        </row>
        <row r="274">
          <cell r="J274" t="str">
            <v>PLBG&amp; PIPING</v>
          </cell>
          <cell r="K274">
            <v>0</v>
          </cell>
        </row>
        <row r="275">
          <cell r="J275" t="str">
            <v>ELEV</v>
          </cell>
          <cell r="K275">
            <v>0</v>
          </cell>
        </row>
        <row r="276">
          <cell r="J276" t="str">
            <v>MECH/HVAC</v>
          </cell>
          <cell r="K276">
            <v>0</v>
          </cell>
        </row>
        <row r="277">
          <cell r="J277" t="str">
            <v>G.C.</v>
          </cell>
          <cell r="K277">
            <v>0</v>
          </cell>
        </row>
        <row r="278">
          <cell r="J278" t="str">
            <v>ELECT</v>
          </cell>
          <cell r="K278">
            <v>0</v>
          </cell>
        </row>
        <row r="279">
          <cell r="J279" t="str">
            <v>EQUIP</v>
          </cell>
          <cell r="K279">
            <v>0</v>
          </cell>
        </row>
        <row r="280">
          <cell r="J280" t="str">
            <v>SITE</v>
          </cell>
          <cell r="K28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ject Cost Summary"/>
      <sheetName val="Construction Cost Summary"/>
      <sheetName val="Design Assumptions"/>
      <sheetName val="Building Cost&amp;Qual Selections"/>
      <sheetName val="Special Construction Costs"/>
      <sheetName val="Bridge Cost Models 090700"/>
      <sheetName val="Loading Dock"/>
      <sheetName val="Proj Dependent Design Choices"/>
      <sheetName val="Site Cost&amp;Qual Selections"/>
      <sheetName val="Proj Indep Design Choices"/>
      <sheetName val="Project Notes&amp;Abbreviations"/>
      <sheetName val="Graphs"/>
      <sheetName val="Financial Analysis"/>
      <sheetName val="Function-Cost-Worth Analysis"/>
      <sheetName val="Quality Model"/>
      <sheetName val="Energy Calculations"/>
      <sheetName val="Funct Analysis Verb-Noun List"/>
      <sheetName val="Value Score Card"/>
      <sheetName val="Unit Price Catalog"/>
    </sheetNames>
    <sheetDataSet>
      <sheetData sheetId="1">
        <row r="15">
          <cell r="M15">
            <v>26500</v>
          </cell>
          <cell r="N15">
            <v>94.29085</v>
          </cell>
        </row>
      </sheetData>
      <sheetData sheetId="2">
        <row r="4">
          <cell r="A4" t="str">
            <v>1. Design Assumptions</v>
          </cell>
          <cell r="C4" t="str">
            <v>QUANTITY</v>
          </cell>
        </row>
        <row r="5">
          <cell r="A5" t="str">
            <v>PARAMETER</v>
          </cell>
          <cell r="C5" t="str">
            <v>DECISION</v>
          </cell>
          <cell r="D5" t="str">
            <v>NAME</v>
          </cell>
          <cell r="E5" t="str">
            <v>QUANTITY</v>
          </cell>
          <cell r="F5" t="str">
            <v>DESCRIPTION</v>
          </cell>
        </row>
        <row r="6">
          <cell r="A6" t="str">
            <v>-</v>
          </cell>
        </row>
        <row r="7">
          <cell r="A7" t="str">
            <v>Location cost adjustment</v>
          </cell>
          <cell r="C7" t="str">
            <v>-</v>
          </cell>
          <cell r="D7" t="str">
            <v>LocFactor</v>
          </cell>
          <cell r="E7">
            <v>1</v>
          </cell>
          <cell r="F7" t="str">
            <v>University of Michigan, Ann Arbor</v>
          </cell>
        </row>
        <row r="8">
          <cell r="A8" t="str">
            <v>Size of Site</v>
          </cell>
          <cell r="C8">
            <v>1</v>
          </cell>
          <cell r="D8" t="str">
            <v>SiteArea</v>
          </cell>
          <cell r="E8">
            <v>1</v>
          </cell>
          <cell r="F8" t="str">
            <v>acres (Immediate Site)</v>
          </cell>
        </row>
        <row r="9">
          <cell r="A9" t="str">
            <v>Gross area of bldg</v>
          </cell>
          <cell r="C9">
            <v>3</v>
          </cell>
          <cell r="D9" t="str">
            <v>GSF</v>
          </cell>
          <cell r="E9">
            <v>133325</v>
          </cell>
          <cell r="F9" t="str">
            <v>Gross square feet</v>
          </cell>
        </row>
        <row r="10">
          <cell r="A10" t="str">
            <v>Net/Gross bldg area ratio (%)</v>
          </cell>
          <cell r="C10">
            <v>1</v>
          </cell>
          <cell r="D10" t="str">
            <v>BldgEff</v>
          </cell>
          <cell r="E10">
            <v>0.55</v>
          </cell>
        </row>
        <row r="11">
          <cell r="A11" t="str">
            <v>Number of floors (incl basmt)</v>
          </cell>
          <cell r="C11">
            <v>5</v>
          </cell>
          <cell r="D11" t="str">
            <v>Nfloors</v>
          </cell>
          <cell r="E11">
            <v>5</v>
          </cell>
          <cell r="F11" t="str">
            <v>Floors</v>
          </cell>
          <cell r="G11" t="str">
            <v>4 Floors + Penthouse</v>
          </cell>
        </row>
        <row r="12">
          <cell r="A12" t="str">
            <v>Floor height (ft)</v>
          </cell>
          <cell r="C12">
            <v>3</v>
          </cell>
          <cell r="D12" t="str">
            <v>FlrtoFlr</v>
          </cell>
          <cell r="E12">
            <v>17.6</v>
          </cell>
          <cell r="F12" t="str">
            <v>Average</v>
          </cell>
        </row>
        <row r="13">
          <cell r="A13" t="str">
            <v>Basement floor height (ft)</v>
          </cell>
          <cell r="C13">
            <v>5</v>
          </cell>
          <cell r="D13" t="str">
            <v>FlrtoFlrBmt</v>
          </cell>
          <cell r="E13">
            <v>0</v>
          </cell>
          <cell r="F13" t="str">
            <v>feet</v>
          </cell>
        </row>
        <row r="14">
          <cell r="A14" t="str">
            <v>Typical bay size (ft)</v>
          </cell>
          <cell r="C14">
            <v>3</v>
          </cell>
          <cell r="D14" t="str">
            <v>BaySize</v>
          </cell>
          <cell r="E14">
            <v>30</v>
          </cell>
          <cell r="F14" t="str">
            <v>by 30 feet</v>
          </cell>
          <cell r="G14" t="str">
            <v>Not Actual: Size used for Cost Relativity</v>
          </cell>
        </row>
        <row r="15">
          <cell r="A15" t="str">
            <v>Perimeter length (ft)</v>
          </cell>
          <cell r="C15">
            <v>3</v>
          </cell>
          <cell r="D15" t="str">
            <v>Perimeter</v>
          </cell>
          <cell r="E15">
            <v>1060.965909090909</v>
          </cell>
          <cell r="F15" t="str">
            <v>Long, narrow, Ell-shaped (6.25::1)</v>
          </cell>
        </row>
        <row r="16">
          <cell r="A16" t="str">
            <v>LxW of ext doors (sf)</v>
          </cell>
          <cell r="C16" t="str">
            <v>-</v>
          </cell>
          <cell r="D16" t="str">
            <v>ExtDoorSize</v>
          </cell>
          <cell r="E16">
            <v>24</v>
          </cell>
          <cell r="F16" t="str">
            <v>3 ft by 8 ft</v>
          </cell>
        </row>
        <row r="17">
          <cell r="A17" t="str">
            <v>LxW of windows (sf)</v>
          </cell>
          <cell r="C17" t="str">
            <v>-</v>
          </cell>
          <cell r="D17" t="str">
            <v>WindowSize</v>
          </cell>
          <cell r="E17">
            <v>121</v>
          </cell>
          <cell r="F17" t="str">
            <v>1 feet by 11 feet High</v>
          </cell>
        </row>
        <row r="18">
          <cell r="A18" t="str">
            <v>Window area (% of ext wall)</v>
          </cell>
          <cell r="C18">
            <v>3</v>
          </cell>
          <cell r="D18" t="str">
            <v>PcntWindow</v>
          </cell>
          <cell r="E18">
            <v>0.48835216622931504</v>
          </cell>
        </row>
        <row r="19">
          <cell r="A19" t="str">
            <v>Skylight area (% of roof)</v>
          </cell>
          <cell r="C19">
            <v>2</v>
          </cell>
          <cell r="D19" t="str">
            <v>PcntSkylight</v>
          </cell>
          <cell r="E19">
            <v>0.0373035185362272</v>
          </cell>
        </row>
        <row r="20">
          <cell r="A20" t="str">
            <v>Number of ext doors</v>
          </cell>
          <cell r="C20" t="str">
            <v>-</v>
          </cell>
          <cell r="D20" t="str">
            <v>ExtDoors</v>
          </cell>
          <cell r="E20">
            <v>17</v>
          </cell>
          <cell r="F20" t="str">
            <v>Doors</v>
          </cell>
        </row>
        <row r="21">
          <cell r="A21" t="str">
            <v>Partition Density</v>
          </cell>
          <cell r="C21">
            <v>1</v>
          </cell>
          <cell r="D21" t="str">
            <v>Part.SF/GSF</v>
          </cell>
          <cell r="E21">
            <v>1</v>
          </cell>
          <cell r="F21" t="str">
            <v>below ave</v>
          </cell>
        </row>
        <row r="22">
          <cell r="A22" t="str">
            <v>Number of elevators</v>
          </cell>
          <cell r="C22">
            <v>4</v>
          </cell>
          <cell r="D22" t="str">
            <v>NElevators</v>
          </cell>
          <cell r="E22">
            <v>4</v>
          </cell>
          <cell r="F22" t="str">
            <v>Elevators</v>
          </cell>
        </row>
        <row r="23">
          <cell r="A23" t="str">
            <v>Number of Cart Lifts</v>
          </cell>
          <cell r="D23" t="str">
            <v>NCLift</v>
          </cell>
          <cell r="E23">
            <v>0</v>
          </cell>
          <cell r="F23" t="str">
            <v>Cart Lifts</v>
          </cell>
        </row>
        <row r="24">
          <cell r="A24" t="str">
            <v>Number of stairs</v>
          </cell>
          <cell r="C24">
            <v>2</v>
          </cell>
          <cell r="D24" t="str">
            <v>NStairs</v>
          </cell>
          <cell r="E24">
            <v>3</v>
          </cell>
          <cell r="F24" t="str">
            <v>Stairs</v>
          </cell>
        </row>
        <row r="25">
          <cell r="A25" t="str">
            <v>Cubic ft spec fire prot</v>
          </cell>
          <cell r="C25" t="str">
            <v>-</v>
          </cell>
          <cell r="D25" t="str">
            <v>CF area</v>
          </cell>
          <cell r="E25">
            <v>2260936</v>
          </cell>
          <cell r="F25" t="str">
            <v>Cubic Feet</v>
          </cell>
        </row>
        <row r="26">
          <cell r="A26" t="str">
            <v>Elect power, misc loads</v>
          </cell>
          <cell r="C26">
            <v>2</v>
          </cell>
          <cell r="D26" t="str">
            <v>Watt/SF</v>
          </cell>
          <cell r="E26">
            <v>12.5</v>
          </cell>
        </row>
        <row r="27">
          <cell r="A27" t="str">
            <v>Fixed/movable equipment</v>
          </cell>
          <cell r="C27" t="str">
            <v>-</v>
          </cell>
          <cell r="D27" t="str">
            <v>LFequip</v>
          </cell>
          <cell r="F27" t="str">
            <v>Casework</v>
          </cell>
        </row>
        <row r="28">
          <cell r="A28" t="str">
            <v>Special construction </v>
          </cell>
          <cell r="C28" t="str">
            <v>-</v>
          </cell>
          <cell r="D28" t="str">
            <v>SFSpecial</v>
          </cell>
          <cell r="E28">
            <v>0</v>
          </cell>
        </row>
        <row r="29">
          <cell r="A29" t="str">
            <v>Years to const. bid date</v>
          </cell>
          <cell r="C29">
            <v>1</v>
          </cell>
          <cell r="D29" t="str">
            <v>Years</v>
          </cell>
          <cell r="E29">
            <v>0.9535507562785364</v>
          </cell>
        </row>
        <row r="32">
          <cell r="A32" t="str">
            <v>LIFE CYCLE COST DATA:</v>
          </cell>
        </row>
        <row r="34">
          <cell r="A34" t="str">
            <v>Building economic life</v>
          </cell>
          <cell r="C34" t="str">
            <v>-</v>
          </cell>
          <cell r="D34" t="str">
            <v>Years</v>
          </cell>
          <cell r="E34">
            <v>25</v>
          </cell>
        </row>
        <row r="35">
          <cell r="A35" t="str">
            <v>Project discount rate</v>
          </cell>
          <cell r="C35" t="str">
            <v>-</v>
          </cell>
          <cell r="D35" t="str">
            <v>AnnPercent</v>
          </cell>
          <cell r="E35">
            <v>0.1</v>
          </cell>
        </row>
        <row r="36">
          <cell r="A36" t="str">
            <v>Elect energy cost</v>
          </cell>
          <cell r="C36" t="str">
            <v>-</v>
          </cell>
          <cell r="D36" t="str">
            <v>Cost/KWh</v>
          </cell>
          <cell r="E36">
            <v>0.05</v>
          </cell>
        </row>
        <row r="37">
          <cell r="A37" t="str">
            <v>Elect energy escal. rate</v>
          </cell>
          <cell r="C37" t="str">
            <v>-</v>
          </cell>
          <cell r="D37" t="str">
            <v>AnnPercent</v>
          </cell>
          <cell r="E37">
            <v>0.02</v>
          </cell>
        </row>
        <row r="38">
          <cell r="A38" t="str">
            <v>Nat. gas energy cost</v>
          </cell>
          <cell r="C38" t="str">
            <v>-</v>
          </cell>
          <cell r="D38" t="str">
            <v>Cost/Therm</v>
          </cell>
          <cell r="E38">
            <v>0.008</v>
          </cell>
        </row>
        <row r="39">
          <cell r="A39" t="str">
            <v>Nat. gas escal. rate</v>
          </cell>
          <cell r="C39" t="str">
            <v>-</v>
          </cell>
          <cell r="D39" t="str">
            <v>AnnPercent</v>
          </cell>
          <cell r="E39">
            <v>0.02</v>
          </cell>
        </row>
        <row r="40">
          <cell r="A40" t="str">
            <v>Fuel oil energy cost</v>
          </cell>
          <cell r="C40" t="str">
            <v>-</v>
          </cell>
          <cell r="D40" t="str">
            <v>Cost/Gal</v>
          </cell>
          <cell r="E40">
            <v>1.15</v>
          </cell>
        </row>
        <row r="41">
          <cell r="A41" t="str">
            <v>Fuel oil escal. rate</v>
          </cell>
          <cell r="C41" t="str">
            <v>-</v>
          </cell>
          <cell r="D41" t="str">
            <v>AnnPercent</v>
          </cell>
          <cell r="E41">
            <v>0.01</v>
          </cell>
          <cell r="I41" t="str">
            <v> Escal Rate</v>
          </cell>
        </row>
        <row r="42">
          <cell r="A42" t="str">
            <v>Heating energy source</v>
          </cell>
          <cell r="C42">
            <v>2</v>
          </cell>
          <cell r="D42" t="str">
            <v>BTUh/Type</v>
          </cell>
          <cell r="E42">
            <v>1052</v>
          </cell>
          <cell r="F42" t="str">
            <v>cu ft natural gas</v>
          </cell>
          <cell r="I42">
            <v>0.02</v>
          </cell>
        </row>
        <row r="43">
          <cell r="A43" t="str">
            <v>Cooling energy source</v>
          </cell>
          <cell r="C43">
            <v>1</v>
          </cell>
          <cell r="D43" t="str">
            <v>BTUh/Type</v>
          </cell>
          <cell r="E43">
            <v>3410</v>
          </cell>
          <cell r="F43" t="str">
            <v>KWh electric energy</v>
          </cell>
          <cell r="I43">
            <v>0.02</v>
          </cell>
        </row>
        <row r="44">
          <cell r="A44" t="str">
            <v>Dom HW energy source</v>
          </cell>
          <cell r="C44">
            <v>2</v>
          </cell>
          <cell r="D44" t="str">
            <v>BTUh/Type</v>
          </cell>
          <cell r="E44">
            <v>1052</v>
          </cell>
          <cell r="F44" t="str">
            <v>cu ft natural gas</v>
          </cell>
          <cell r="I44">
            <v>0.02</v>
          </cell>
        </row>
        <row r="45">
          <cell r="A45" t="str">
            <v>Maintenance escal. rate</v>
          </cell>
          <cell r="C45" t="str">
            <v>-</v>
          </cell>
          <cell r="D45" t="str">
            <v>AnnPercent</v>
          </cell>
          <cell r="E45">
            <v>0</v>
          </cell>
          <cell r="F45" t="str">
            <v> PW Factor =</v>
          </cell>
          <cell r="G45">
            <v>9.077040018229354</v>
          </cell>
          <cell r="H45" t="str">
            <v> 1+e/1+i=</v>
          </cell>
          <cell r="I45">
            <v>0.9090909090909091</v>
          </cell>
        </row>
        <row r="46">
          <cell r="A46" t="str">
            <v>Replacement escal. rate</v>
          </cell>
          <cell r="C46" t="str">
            <v>-</v>
          </cell>
          <cell r="D46" t="str">
            <v>AnnPercent</v>
          </cell>
          <cell r="E46">
            <v>0</v>
          </cell>
          <cell r="F46" t="str">
            <v> PW Factor =</v>
          </cell>
          <cell r="G46">
            <v>9.077040018229354</v>
          </cell>
          <cell r="H46" t="str">
            <v> 1+e/1+i=</v>
          </cell>
          <cell r="I46">
            <v>0.9090909090909091</v>
          </cell>
        </row>
        <row r="49">
          <cell r="A49" t="str">
            <v>CLIMATIC DATA:</v>
          </cell>
          <cell r="C49" t="str">
            <v>University of Michigan, Ann Arbor</v>
          </cell>
          <cell r="E49" t="str">
            <v>40 degrees North Latitude</v>
          </cell>
        </row>
        <row r="51">
          <cell r="A51" t="str">
            <v>Summer outside des temp</v>
          </cell>
          <cell r="C51" t="str">
            <v>-</v>
          </cell>
          <cell r="D51" t="str">
            <v>DegreeF</v>
          </cell>
          <cell r="E51">
            <v>98</v>
          </cell>
        </row>
        <row r="52">
          <cell r="A52" t="str">
            <v>Winter outside des temp</v>
          </cell>
          <cell r="C52" t="str">
            <v>-</v>
          </cell>
          <cell r="D52" t="str">
            <v>DegreeF</v>
          </cell>
          <cell r="E52">
            <v>13</v>
          </cell>
          <cell r="F52">
            <v>0.79</v>
          </cell>
          <cell r="G52" t="str">
            <v>interim factor C</v>
          </cell>
        </row>
        <row r="53">
          <cell r="A53" t="str">
            <v>Cooling degree days</v>
          </cell>
          <cell r="C53" t="str">
            <v>-</v>
          </cell>
          <cell r="D53" t="str">
            <v>CDegreeDays</v>
          </cell>
          <cell r="E53">
            <v>5563</v>
          </cell>
          <cell r="F53">
            <v>3000</v>
          </cell>
        </row>
        <row r="54">
          <cell r="A54" t="str">
            <v>Heating degree days</v>
          </cell>
          <cell r="C54" t="str">
            <v>-</v>
          </cell>
          <cell r="D54" t="str">
            <v>HDegreeDays</v>
          </cell>
          <cell r="E54">
            <v>4500</v>
          </cell>
          <cell r="F54">
            <v>7063</v>
          </cell>
        </row>
        <row r="55">
          <cell r="A55" t="str">
            <v>Solar gain-North</v>
          </cell>
          <cell r="C55" t="str">
            <v>-</v>
          </cell>
          <cell r="D55" t="str">
            <v>%Glass</v>
          </cell>
          <cell r="E55">
            <v>0.15</v>
          </cell>
          <cell r="F55" t="str">
            <v>    %Shaded</v>
          </cell>
          <cell r="G55">
            <v>0.57</v>
          </cell>
          <cell r="H55" t="str">
            <v>   BTU/SF</v>
          </cell>
          <cell r="I55">
            <v>38.8</v>
          </cell>
        </row>
        <row r="56">
          <cell r="A56" t="str">
            <v>Solar gain-Northeast</v>
          </cell>
          <cell r="C56" t="str">
            <v>-</v>
          </cell>
          <cell r="D56" t="str">
            <v>%Glass</v>
          </cell>
          <cell r="E56">
            <v>0</v>
          </cell>
          <cell r="F56" t="str">
            <v>    %Shaded</v>
          </cell>
          <cell r="G56">
            <v>0.57</v>
          </cell>
          <cell r="H56" t="str">
            <v>   BTU/SF</v>
          </cell>
          <cell r="I56">
            <v>129</v>
          </cell>
        </row>
        <row r="57">
          <cell r="A57" t="str">
            <v>Solar gain-East</v>
          </cell>
          <cell r="C57" t="str">
            <v>-</v>
          </cell>
          <cell r="D57" t="str">
            <v>%Glass</v>
          </cell>
          <cell r="E57">
            <v>0.35</v>
          </cell>
          <cell r="F57" t="str">
            <v>    %Shaded</v>
          </cell>
          <cell r="G57">
            <v>0.57</v>
          </cell>
          <cell r="H57" t="str">
            <v>   BTU/SF</v>
          </cell>
          <cell r="I57">
            <v>182</v>
          </cell>
        </row>
        <row r="58">
          <cell r="A58" t="str">
            <v>Solar gain-Southeast</v>
          </cell>
          <cell r="C58" t="str">
            <v>-</v>
          </cell>
          <cell r="D58" t="str">
            <v>%Glass</v>
          </cell>
          <cell r="E58">
            <v>0</v>
          </cell>
          <cell r="F58" t="str">
            <v>    %Shaded</v>
          </cell>
          <cell r="G58">
            <v>0.57</v>
          </cell>
          <cell r="H58" t="str">
            <v>   BTU/SF</v>
          </cell>
          <cell r="I58">
            <v>170.8</v>
          </cell>
        </row>
        <row r="59">
          <cell r="A59" t="str">
            <v>Solar gain-South</v>
          </cell>
          <cell r="C59" t="str">
            <v>-</v>
          </cell>
          <cell r="D59" t="str">
            <v>%Glass</v>
          </cell>
          <cell r="E59">
            <v>0.35</v>
          </cell>
          <cell r="F59" t="str">
            <v>    %Shaded</v>
          </cell>
          <cell r="G59">
            <v>0.57</v>
          </cell>
          <cell r="H59" t="str">
            <v>   BTU/SF</v>
          </cell>
          <cell r="I59">
            <v>104.8</v>
          </cell>
        </row>
        <row r="60">
          <cell r="A60" t="str">
            <v>Solar gain-Southwest</v>
          </cell>
          <cell r="C60" t="str">
            <v>-</v>
          </cell>
          <cell r="D60" t="str">
            <v>%Glass</v>
          </cell>
          <cell r="E60">
            <v>0</v>
          </cell>
          <cell r="F60" t="str">
            <v>    %Shaded</v>
          </cell>
          <cell r="G60">
            <v>0.57</v>
          </cell>
          <cell r="H60" t="str">
            <v>   BTU/SF</v>
          </cell>
          <cell r="I60">
            <v>48.2</v>
          </cell>
        </row>
        <row r="61">
          <cell r="A61" t="str">
            <v>Solar gain-West</v>
          </cell>
          <cell r="C61" t="str">
            <v>-</v>
          </cell>
          <cell r="D61" t="str">
            <v>%Glass</v>
          </cell>
          <cell r="E61">
            <v>0.15</v>
          </cell>
          <cell r="F61" t="str">
            <v>    %Shaded</v>
          </cell>
          <cell r="G61">
            <v>0.57</v>
          </cell>
          <cell r="H61" t="str">
            <v>   BTU/SF</v>
          </cell>
          <cell r="I61">
            <v>34</v>
          </cell>
        </row>
        <row r="62">
          <cell r="A62" t="str">
            <v>Solar gain-Northwest</v>
          </cell>
          <cell r="C62" t="str">
            <v>-</v>
          </cell>
          <cell r="D62" t="str">
            <v>%Glass</v>
          </cell>
          <cell r="E62">
            <v>0</v>
          </cell>
          <cell r="F62" t="str">
            <v>    %Shaded</v>
          </cell>
          <cell r="G62">
            <v>0.57</v>
          </cell>
          <cell r="H62" t="str">
            <v>   BTU/SF</v>
          </cell>
          <cell r="I62">
            <v>33.4</v>
          </cell>
        </row>
        <row r="64">
          <cell r="A64" t="str">
            <v>BUILDING OPERATION DATA:</v>
          </cell>
        </row>
        <row r="65">
          <cell r="A65" t="str">
            <v>Hours of operation</v>
          </cell>
          <cell r="C65" t="str">
            <v>-</v>
          </cell>
          <cell r="D65" t="str">
            <v>Hours/year</v>
          </cell>
          <cell r="E65">
            <v>2900</v>
          </cell>
          <cell r="G65">
            <v>7488</v>
          </cell>
        </row>
        <row r="66">
          <cell r="A66" t="str">
            <v>Hours of site lighting</v>
          </cell>
          <cell r="C66" t="str">
            <v>-</v>
          </cell>
          <cell r="D66" t="str">
            <v>Hours/year</v>
          </cell>
          <cell r="E66">
            <v>3650</v>
          </cell>
          <cell r="F66" t="str">
            <v>(10 * 365 days)</v>
          </cell>
        </row>
        <row r="67">
          <cell r="A67" t="str">
            <v>Fresh air requirements</v>
          </cell>
          <cell r="C67">
            <v>4</v>
          </cell>
          <cell r="D67" t="str">
            <v>CFM/person</v>
          </cell>
          <cell r="E67">
            <v>20</v>
          </cell>
        </row>
        <row r="68">
          <cell r="A68" t="str">
            <v>Elevator usage</v>
          </cell>
          <cell r="C68" t="str">
            <v>-</v>
          </cell>
          <cell r="D68" t="str">
            <v>Percent/day</v>
          </cell>
          <cell r="E68">
            <v>0.5</v>
          </cell>
        </row>
        <row r="69">
          <cell r="A69" t="str">
            <v>Summer inside des temp</v>
          </cell>
          <cell r="C69">
            <v>4</v>
          </cell>
          <cell r="D69" t="str">
            <v>DegreeF</v>
          </cell>
          <cell r="E69">
            <v>74</v>
          </cell>
        </row>
        <row r="70">
          <cell r="A70" t="str">
            <v>Winter inside des temp</v>
          </cell>
          <cell r="C70">
            <v>3</v>
          </cell>
          <cell r="D70" t="str">
            <v>DegreeF</v>
          </cell>
          <cell r="E70">
            <v>72</v>
          </cell>
        </row>
        <row r="72">
          <cell r="A72" t="str">
            <v>OWNER/USER PRIORITY ASSESSMENT:</v>
          </cell>
        </row>
        <row r="73">
          <cell r="A73" t="str">
            <v>Image objective</v>
          </cell>
          <cell r="C73" t="str">
            <v>-</v>
          </cell>
          <cell r="D73" t="str">
            <v>% Weight</v>
          </cell>
          <cell r="E73">
            <v>0.6</v>
          </cell>
        </row>
        <row r="74">
          <cell r="A74" t="str">
            <v>Flexibility objective</v>
          </cell>
          <cell r="C74" t="str">
            <v>-</v>
          </cell>
          <cell r="D74" t="str">
            <v>% Weight</v>
          </cell>
          <cell r="E74">
            <v>0.15</v>
          </cell>
        </row>
        <row r="75">
          <cell r="A75" t="str">
            <v>Comfort objective</v>
          </cell>
          <cell r="C75" t="str">
            <v>-</v>
          </cell>
          <cell r="D75" t="str">
            <v>% Weight</v>
          </cell>
          <cell r="E75">
            <v>0.25</v>
          </cell>
          <cell r="F75">
            <v>1</v>
          </cell>
        </row>
        <row r="76">
          <cell r="E76" t="str">
            <v>-</v>
          </cell>
        </row>
        <row r="77">
          <cell r="D77" t="str">
            <v>Total</v>
          </cell>
          <cell r="E77">
            <v>1</v>
          </cell>
        </row>
        <row r="79">
          <cell r="A79" t="str">
            <v>Values below are dependent upon the assumptions above:</v>
          </cell>
        </row>
        <row r="80">
          <cell r="A80" t="str">
            <v>Occupancy</v>
          </cell>
          <cell r="C80" t="str">
            <v>-</v>
          </cell>
          <cell r="D80" t="str">
            <v>NumPeople</v>
          </cell>
          <cell r="E80">
            <v>1543</v>
          </cell>
          <cell r="G80">
            <v>1526.882341666667</v>
          </cell>
        </row>
        <row r="81">
          <cell r="A81" t="str">
            <v>Sq ft of footprint</v>
          </cell>
          <cell r="C81" t="str">
            <v>-</v>
          </cell>
          <cell r="D81" t="str">
            <v>SFground</v>
          </cell>
          <cell r="E81">
            <v>26394</v>
          </cell>
        </row>
        <row r="82">
          <cell r="A82" t="str">
            <v>Num of columns</v>
          </cell>
          <cell r="C82" t="str">
            <v>-</v>
          </cell>
          <cell r="D82" t="str">
            <v>Ncolumns</v>
          </cell>
          <cell r="E82">
            <v>54.27211822953556</v>
          </cell>
          <cell r="H82" t="str">
            <v>=(SQRT(SFGROUND)/BAYSIZE+1)*(SQRT(SFGROUND)/BAYSIZE+1)</v>
          </cell>
        </row>
        <row r="83">
          <cell r="A83" t="str">
            <v>Length of cols</v>
          </cell>
          <cell r="C83" t="str">
            <v>-</v>
          </cell>
          <cell r="D83" t="str">
            <v>LFcolumn</v>
          </cell>
          <cell r="E83">
            <v>4775.946404199129</v>
          </cell>
          <cell r="G83">
            <v>4775.946404199129</v>
          </cell>
        </row>
        <row r="84">
          <cell r="A84" t="str">
            <v>Elevated flr area</v>
          </cell>
          <cell r="C84" t="str">
            <v>-</v>
          </cell>
          <cell r="D84" t="str">
            <v>SFfloor</v>
          </cell>
          <cell r="E84">
            <v>106931</v>
          </cell>
        </row>
        <row r="85">
          <cell r="A85" t="str">
            <v>Roof area (SFground-skylight)</v>
          </cell>
          <cell r="C85" t="str">
            <v>-</v>
          </cell>
          <cell r="D85" t="str">
            <v>SFroof</v>
          </cell>
          <cell r="E85">
            <v>32578.625000000004</v>
          </cell>
        </row>
        <row r="86">
          <cell r="A86" t="str">
            <v>Skylight area</v>
          </cell>
          <cell r="C86" t="str">
            <v>-</v>
          </cell>
          <cell r="D86" t="str">
            <v>SFskylight</v>
          </cell>
          <cell r="E86">
            <v>1262.388888888889</v>
          </cell>
        </row>
        <row r="87">
          <cell r="A87" t="str">
            <v>Flights of stairs</v>
          </cell>
          <cell r="C87" t="str">
            <v>-</v>
          </cell>
          <cell r="D87" t="str">
            <v>Flights</v>
          </cell>
          <cell r="E87">
            <v>12</v>
          </cell>
        </row>
        <row r="88">
          <cell r="A88" t="str">
            <v>Ext wall area</v>
          </cell>
          <cell r="C88" t="str">
            <v>-</v>
          </cell>
          <cell r="D88" t="str">
            <v>ExtWall</v>
          </cell>
          <cell r="E88">
            <v>93365</v>
          </cell>
          <cell r="F88">
            <v>47770</v>
          </cell>
        </row>
        <row r="89">
          <cell r="A89" t="str">
            <v>Soffit Area</v>
          </cell>
          <cell r="C89" t="str">
            <v>-</v>
          </cell>
          <cell r="D89" t="str">
            <v>Soffit Area</v>
          </cell>
          <cell r="E89">
            <v>6081</v>
          </cell>
        </row>
        <row r="90">
          <cell r="A90" t="str">
            <v>Window area</v>
          </cell>
          <cell r="B90" t="str">
            <v>Curtainwall</v>
          </cell>
          <cell r="C90" t="str">
            <v>-</v>
          </cell>
          <cell r="D90" t="str">
            <v>WindowArea</v>
          </cell>
          <cell r="E90">
            <v>45595</v>
          </cell>
          <cell r="H90">
            <v>45595</v>
          </cell>
        </row>
        <row r="91">
          <cell r="A91" t="str">
            <v>Num of windows</v>
          </cell>
          <cell r="C91" t="str">
            <v>-</v>
          </cell>
          <cell r="D91" t="str">
            <v>NWindows</v>
          </cell>
          <cell r="E91">
            <v>376.8181818181818</v>
          </cell>
        </row>
        <row r="92">
          <cell r="A92" t="str">
            <v>Partition area</v>
          </cell>
          <cell r="C92" t="str">
            <v>-</v>
          </cell>
          <cell r="D92" t="str">
            <v>SFpartition</v>
          </cell>
          <cell r="E92">
            <v>133325</v>
          </cell>
        </row>
        <row r="93">
          <cell r="A93" t="str">
            <v>Num of int doors</v>
          </cell>
          <cell r="C93" t="str">
            <v>-</v>
          </cell>
          <cell r="D93" t="str">
            <v>IntDoors</v>
          </cell>
          <cell r="E93">
            <v>333.3125</v>
          </cell>
        </row>
        <row r="94">
          <cell r="A94" t="str">
            <v>Partn surface</v>
          </cell>
          <cell r="C94" t="str">
            <v>-</v>
          </cell>
          <cell r="D94" t="str">
            <v>SFsurface</v>
          </cell>
          <cell r="E94">
            <v>266650</v>
          </cell>
        </row>
        <row r="95">
          <cell r="A95" t="str">
            <v>Load/bay (kips)</v>
          </cell>
          <cell r="C95" t="str">
            <v>-</v>
          </cell>
          <cell r="D95" t="str">
            <v>BayLoad</v>
          </cell>
          <cell r="E95">
            <v>520.2</v>
          </cell>
          <cell r="I95" t="str">
            <v>Original Formula @ E94</v>
          </cell>
        </row>
        <row r="96">
          <cell r="A96" t="str">
            <v>HVAC</v>
          </cell>
          <cell r="C96" t="str">
            <v>-</v>
          </cell>
          <cell r="D96" t="str">
            <v>Tons</v>
          </cell>
          <cell r="E96">
            <v>4000</v>
          </cell>
          <cell r="F96" t="str">
            <v>load+20%   =</v>
          </cell>
          <cell r="G96">
            <v>33.33125</v>
          </cell>
          <cell r="H96" t="str">
            <v>GSF/Ton</v>
          </cell>
          <cell r="I96" t="str">
            <v>='Energy Calculations'!C115/12000*1.2</v>
          </cell>
        </row>
        <row r="97">
          <cell r="A97" t="str">
            <v>Electrical power reqmts</v>
          </cell>
          <cell r="C97" t="str">
            <v>-</v>
          </cell>
          <cell r="D97" t="str">
            <v>KW</v>
          </cell>
        </row>
        <row r="98">
          <cell r="A98" t="str">
            <v>Num of parking spaces</v>
          </cell>
          <cell r="C98" t="str">
            <v>-</v>
          </cell>
          <cell r="D98" t="str">
            <v>Ncars</v>
          </cell>
          <cell r="E98">
            <v>0</v>
          </cell>
          <cell r="F98" t="str">
            <v> On grade  =</v>
          </cell>
          <cell r="G98">
            <v>0</v>
          </cell>
          <cell r="H98" t="str">
            <v>Cars</v>
          </cell>
        </row>
        <row r="99">
          <cell r="A99" t="str">
            <v>Roadway length</v>
          </cell>
          <cell r="C99" t="str">
            <v>-</v>
          </cell>
          <cell r="D99" t="str">
            <v>LF Road    </v>
          </cell>
          <cell r="E99">
            <v>0</v>
          </cell>
        </row>
        <row r="100">
          <cell r="A100" t="str">
            <v>Sidewalk length</v>
          </cell>
          <cell r="C100" t="str">
            <v>-</v>
          </cell>
          <cell r="D100" t="str">
            <v>LF Sidewalk</v>
          </cell>
          <cell r="E100">
            <v>834.8413022844521</v>
          </cell>
        </row>
        <row r="101">
          <cell r="A101" t="str">
            <v>Unpaved site area (acre)</v>
          </cell>
          <cell r="C101" t="str">
            <v>-</v>
          </cell>
          <cell r="D101" t="str">
            <v>UnpavedArea</v>
          </cell>
          <cell r="E101">
            <v>0.38385295663136343</v>
          </cell>
          <cell r="F101" t="str">
            <v>        Site</v>
          </cell>
          <cell r="G101">
            <v>0.38385295663136343</v>
          </cell>
        </row>
        <row r="102">
          <cell r="A102" t="str">
            <v>Water,storm/san,gas,elec utilities</v>
          </cell>
          <cell r="C102" t="str">
            <v>-</v>
          </cell>
          <cell r="D102" t="str">
            <v>LenUtility</v>
          </cell>
          <cell r="E102">
            <v>70.75280036860732</v>
          </cell>
        </row>
        <row r="103">
          <cell r="A103" t="str">
            <v>Heating &amp; cooling distribution</v>
          </cell>
          <cell r="C103" t="str">
            <v>-</v>
          </cell>
          <cell r="D103" t="str">
            <v>LenDistrbution</v>
          </cell>
          <cell r="E103">
            <v>208.71032557111303</v>
          </cell>
        </row>
        <row r="104">
          <cell r="A104" t="str">
            <v>Site lighting area</v>
          </cell>
          <cell r="C104" t="str">
            <v>-</v>
          </cell>
          <cell r="D104" t="str">
            <v>SF Lighting</v>
          </cell>
          <cell r="E104">
            <v>4342.60329658954</v>
          </cell>
        </row>
        <row r="105">
          <cell r="A105" t="str">
            <v>Building Volume</v>
          </cell>
          <cell r="C105" t="str">
            <v>-</v>
          </cell>
          <cell r="D105" t="str">
            <v>Cubic Feet</v>
          </cell>
          <cell r="E105">
            <v>2260936</v>
          </cell>
          <cell r="G105" t="str">
            <v>=IF(C14&lt;=1,C13*FLRTOFLR*SFGROUND,(C13-1)*FLRTOFLR*SFGROUND+E14*SFGROUND)</v>
          </cell>
        </row>
        <row r="107">
          <cell r="A107" t="str">
            <v>ENERGY CALCULATION ASSUMPTIONS:</v>
          </cell>
        </row>
        <row r="108">
          <cell r="A108" t="str">
            <v>Sensible heat gain</v>
          </cell>
          <cell r="C108" t="str">
            <v>-</v>
          </cell>
          <cell r="D108" t="str">
            <v>BTUh</v>
          </cell>
        </row>
        <row r="109">
          <cell r="A109" t="str">
            <v>Latent heat gain</v>
          </cell>
          <cell r="C109" t="str">
            <v>-</v>
          </cell>
          <cell r="D109" t="str">
            <v>BTUh</v>
          </cell>
        </row>
        <row r="110">
          <cell r="A110" t="str">
            <v>Enthalpy value</v>
          </cell>
          <cell r="C110" t="str">
            <v>-</v>
          </cell>
          <cell r="D110" t="str">
            <v>E Value</v>
          </cell>
        </row>
        <row r="111">
          <cell r="A111" t="str">
            <v>HVAC power input</v>
          </cell>
          <cell r="C111" t="str">
            <v>-</v>
          </cell>
          <cell r="D111" t="str">
            <v>KW/Ton</v>
          </cell>
        </row>
        <row r="112">
          <cell r="A112" t="str">
            <v>Building lighting energy</v>
          </cell>
          <cell r="C112" t="str">
            <v>-</v>
          </cell>
          <cell r="D112" t="str">
            <v>Watts/SF</v>
          </cell>
        </row>
        <row r="113">
          <cell r="A113" t="str">
            <v>Site lighting energy</v>
          </cell>
          <cell r="C113" t="str">
            <v>-</v>
          </cell>
          <cell r="D113" t="str">
            <v>Watts/SF</v>
          </cell>
        </row>
        <row r="114">
          <cell r="A114" t="str">
            <v>Domestic hot water</v>
          </cell>
          <cell r="C114" t="str">
            <v>-</v>
          </cell>
          <cell r="D114" t="str">
            <v>Gal/Day</v>
          </cell>
        </row>
        <row r="115">
          <cell r="A115" t="str">
            <v>Hot water Temp. diff.</v>
          </cell>
          <cell r="C115" t="str">
            <v>-</v>
          </cell>
          <cell r="D115" t="str">
            <v>DegreeF</v>
          </cell>
          <cell r="F115" t="str">
            <v>(range=70-120)</v>
          </cell>
        </row>
      </sheetData>
      <sheetData sheetId="3">
        <row r="1">
          <cell r="B1" t="str">
            <v>BUILDING COST/QUALITY SELECTIONS</v>
          </cell>
          <cell r="J1" t="str">
            <v>SmithGroup</v>
          </cell>
        </row>
        <row r="4">
          <cell r="B4" t="str">
            <v>Project Number:</v>
          </cell>
          <cell r="C4">
            <v>21345.7</v>
          </cell>
        </row>
        <row r="6">
          <cell r="B6" t="str">
            <v>Project Name:</v>
          </cell>
          <cell r="C6" t="str">
            <v>Palmer Project</v>
          </cell>
          <cell r="I6" t="str">
            <v>    Date:</v>
          </cell>
          <cell r="J6">
            <v>37355.953973958334</v>
          </cell>
          <cell r="K6">
            <v>37355.953973958334</v>
          </cell>
        </row>
        <row r="8">
          <cell r="B8" t="str">
            <v>Project Location:</v>
          </cell>
          <cell r="C8" t="str">
            <v>University of Michigan,  Ann Arbor, MI.</v>
          </cell>
          <cell r="I8" t="str">
            <v>    Division:</v>
          </cell>
          <cell r="J8" t="str">
            <v>H &amp; R</v>
          </cell>
        </row>
        <row r="10">
          <cell r="B10" t="str">
            <v>Component:</v>
          </cell>
          <cell r="C10" t="str">
            <v>"L" Building</v>
          </cell>
          <cell r="I10" t="str">
            <v>    Bid Date:</v>
          </cell>
          <cell r="J10">
            <v>37704</v>
          </cell>
        </row>
        <row r="14">
          <cell r="C14" t="str">
            <v>QUALITY</v>
          </cell>
        </row>
        <row r="15">
          <cell r="A15" t="str">
            <v>NO</v>
          </cell>
          <cell r="B15" t="str">
            <v>SYSTEM</v>
          </cell>
          <cell r="C15" t="str">
            <v>DECISION</v>
          </cell>
          <cell r="D15" t="str">
            <v>UNIT</v>
          </cell>
          <cell r="E15" t="str">
            <v>UNIT_COST</v>
          </cell>
          <cell r="F15" t="str">
            <v>DESCRIPTION OF CHOICE</v>
          </cell>
          <cell r="I15" t="str">
            <v>QUANTITY</v>
          </cell>
          <cell r="J15" t="str">
            <v>TOTAL_COST</v>
          </cell>
          <cell r="K15" t="str">
            <v>GSF_COST</v>
          </cell>
        </row>
        <row r="16">
          <cell r="A16" t="str">
            <v>011.10</v>
          </cell>
          <cell r="B16" t="str">
            <v>Spread footings</v>
          </cell>
          <cell r="C16">
            <v>1</v>
          </cell>
          <cell r="D16" t="str">
            <v>Ncolumns</v>
          </cell>
          <cell r="E16">
            <v>3700</v>
          </cell>
          <cell r="F16" t="str">
            <v>3 ksf soil capacity</v>
          </cell>
          <cell r="I16">
            <v>0</v>
          </cell>
          <cell r="J16">
            <v>0</v>
          </cell>
          <cell r="K16">
            <v>0</v>
          </cell>
        </row>
        <row r="17">
          <cell r="A17" t="str">
            <v>011.20</v>
          </cell>
          <cell r="B17" t="str">
            <v>Strip footings</v>
          </cell>
          <cell r="C17">
            <v>3</v>
          </cell>
          <cell r="D17" t="str">
            <v>LFPerimeter</v>
          </cell>
          <cell r="E17">
            <v>21</v>
          </cell>
          <cell r="F17" t="str">
            <v>Basemt footing, for wall see 023, 3ksi soil</v>
          </cell>
          <cell r="I17">
            <v>0</v>
          </cell>
          <cell r="J17">
            <v>0</v>
          </cell>
          <cell r="K17">
            <v>0</v>
          </cell>
        </row>
        <row r="18">
          <cell r="A18" t="str">
            <v>011.30</v>
          </cell>
          <cell r="B18" t="str">
            <v>Footing Excavation</v>
          </cell>
          <cell r="C18">
            <v>2</v>
          </cell>
          <cell r="D18" t="str">
            <v>SFground</v>
          </cell>
          <cell r="E18">
            <v>0</v>
          </cell>
          <cell r="F18" t="str">
            <v>Clay excav, r.o.b. gravel backfill, see 022</v>
          </cell>
          <cell r="I18">
            <v>0</v>
          </cell>
          <cell r="J18">
            <v>0</v>
          </cell>
          <cell r="K18">
            <v>0</v>
          </cell>
        </row>
        <row r="19">
          <cell r="A19" t="str">
            <v>012.10</v>
          </cell>
          <cell r="B19" t="str">
            <v>Special Foundations</v>
          </cell>
          <cell r="C19">
            <v>2</v>
          </cell>
          <cell r="D19" t="str">
            <v>SFground</v>
          </cell>
          <cell r="E19">
            <v>3.6</v>
          </cell>
          <cell r="F19" t="str">
            <v>Average additional special foundations</v>
          </cell>
          <cell r="I19">
            <v>0</v>
          </cell>
          <cell r="J19">
            <v>0</v>
          </cell>
          <cell r="K19">
            <v>0</v>
          </cell>
        </row>
        <row r="20">
          <cell r="A20" t="str">
            <v>021.00</v>
          </cell>
          <cell r="B20" t="str">
            <v>Slab on Grade</v>
          </cell>
          <cell r="C20">
            <v>2</v>
          </cell>
          <cell r="D20" t="str">
            <v>SFslab</v>
          </cell>
          <cell r="E20">
            <v>3.75</v>
          </cell>
          <cell r="F20" t="str">
            <v>Light industrial, reinforced</v>
          </cell>
          <cell r="I20">
            <v>0</v>
          </cell>
          <cell r="J20">
            <v>0</v>
          </cell>
          <cell r="K20">
            <v>0</v>
          </cell>
        </row>
        <row r="21">
          <cell r="A21" t="str">
            <v>021.01</v>
          </cell>
          <cell r="B21" t="str">
            <v>S.O.G. Isolation</v>
          </cell>
          <cell r="D21" t="str">
            <v>SFslab</v>
          </cell>
          <cell r="E21">
            <v>6</v>
          </cell>
          <cell r="F21" t="str">
            <v>4" Conc on Insulation over "Lid"</v>
          </cell>
          <cell r="I21">
            <v>26394</v>
          </cell>
          <cell r="J21">
            <v>158364</v>
          </cell>
          <cell r="K21">
            <v>1.19</v>
          </cell>
        </row>
        <row r="22">
          <cell r="A22" t="str">
            <v>022.00</v>
          </cell>
          <cell r="B22" t="str">
            <v>Basemt Excavation</v>
          </cell>
          <cell r="C22">
            <v>3</v>
          </cell>
          <cell r="D22" t="str">
            <v>Bcubicfeet</v>
          </cell>
          <cell r="E22">
            <v>0.4</v>
          </cell>
          <cell r="F22" t="str">
            <v>Clay, gravel borrow for backfill</v>
          </cell>
          <cell r="I22">
            <v>0</v>
          </cell>
          <cell r="J22">
            <v>0</v>
          </cell>
          <cell r="K22">
            <v>0</v>
          </cell>
        </row>
        <row r="23">
          <cell r="A23" t="str">
            <v>023.00</v>
          </cell>
          <cell r="B23" t="str">
            <v>Basement Wall</v>
          </cell>
          <cell r="C23">
            <v>4</v>
          </cell>
          <cell r="D23" t="str">
            <v>SFbasmtwall</v>
          </cell>
          <cell r="E23">
            <v>17.5</v>
          </cell>
          <cell r="F23" t="str">
            <v>16" CIP conc, reinf, waterprf,insul, drain tile</v>
          </cell>
          <cell r="I23">
            <v>0</v>
          </cell>
          <cell r="J23">
            <v>0</v>
          </cell>
          <cell r="K23">
            <v>0</v>
          </cell>
        </row>
        <row r="24">
          <cell r="A24" t="str">
            <v>031.10</v>
          </cell>
          <cell r="B24" t="str">
            <v>Cols/Bm Fireprot</v>
          </cell>
          <cell r="C24">
            <v>2</v>
          </cell>
          <cell r="D24" t="str">
            <v>LFcolumn</v>
          </cell>
          <cell r="E24">
            <v>18.62973222530009</v>
          </cell>
          <cell r="F24" t="str">
            <v>Gypsum board-2 hours</v>
          </cell>
          <cell r="I24">
            <v>4930.946404199129</v>
          </cell>
          <cell r="J24">
            <v>91862.21112753611</v>
          </cell>
          <cell r="K24">
            <v>0.69</v>
          </cell>
        </row>
        <row r="25">
          <cell r="A25" t="str">
            <v>031.20</v>
          </cell>
          <cell r="B25" t="str">
            <v>Elevated Floors</v>
          </cell>
          <cell r="C25">
            <v>3</v>
          </cell>
          <cell r="D25" t="str">
            <v>SFfloor</v>
          </cell>
          <cell r="E25">
            <v>30.149584487534618</v>
          </cell>
          <cell r="F25" t="str">
            <v>Stl bms, composite deck, conc slab (Odd size bays)</v>
          </cell>
          <cell r="I25">
            <v>106931</v>
          </cell>
          <cell r="J25">
            <v>3223925.218836564</v>
          </cell>
          <cell r="K25">
            <v>24.18</v>
          </cell>
        </row>
        <row r="26">
          <cell r="A26" t="str">
            <v>031.21</v>
          </cell>
          <cell r="B26" t="str">
            <v>Interstitial Deck</v>
          </cell>
          <cell r="D26" t="str">
            <v>SFfloor</v>
          </cell>
          <cell r="E26">
            <v>17.236072637734683</v>
          </cell>
          <cell r="F26" t="str">
            <v>Steel hung from above with gyp-crete deck</v>
          </cell>
          <cell r="I26">
            <v>0</v>
          </cell>
          <cell r="J26">
            <v>0</v>
          </cell>
          <cell r="K26">
            <v>0</v>
          </cell>
        </row>
        <row r="27">
          <cell r="A27" t="str">
            <v>032.00</v>
          </cell>
          <cell r="B27" t="str">
            <v>Roof Construction</v>
          </cell>
          <cell r="C27">
            <v>3</v>
          </cell>
          <cell r="D27" t="str">
            <v>SFroof</v>
          </cell>
          <cell r="E27">
            <v>26.592797783933513</v>
          </cell>
          <cell r="F27" t="str">
            <v>Steel joists,mtl deck,fireproof (Odd size bays)</v>
          </cell>
          <cell r="I27">
            <v>32578.625000000004</v>
          </cell>
          <cell r="J27">
            <v>866356.786703601</v>
          </cell>
          <cell r="K27">
            <v>6.5</v>
          </cell>
        </row>
        <row r="28">
          <cell r="A28" t="str">
            <v>031.20</v>
          </cell>
          <cell r="B28" t="str">
            <v>Penthouse Isolation</v>
          </cell>
          <cell r="C28">
            <v>3</v>
          </cell>
          <cell r="D28" t="str">
            <v>SFfloor</v>
          </cell>
          <cell r="E28">
            <v>6</v>
          </cell>
          <cell r="F28" t="str">
            <v>Second "isolation" floor slab</v>
          </cell>
          <cell r="I28">
            <v>17810</v>
          </cell>
          <cell r="J28">
            <v>106860</v>
          </cell>
          <cell r="K28">
            <v>0.8</v>
          </cell>
        </row>
        <row r="29">
          <cell r="A29" t="str">
            <v>033.00</v>
          </cell>
          <cell r="B29" t="str">
            <v>Stair Construction #1</v>
          </cell>
          <cell r="C29">
            <v>2</v>
          </cell>
          <cell r="D29" t="str">
            <v>Flight</v>
          </cell>
          <cell r="E29">
            <v>14600</v>
          </cell>
          <cell r="F29" t="str">
            <v>Cement fill, metal pan w/ landing (28 risers) </v>
          </cell>
          <cell r="I29">
            <v>12</v>
          </cell>
          <cell r="J29">
            <v>175200</v>
          </cell>
          <cell r="K29">
            <v>1.31</v>
          </cell>
        </row>
        <row r="30">
          <cell r="A30" t="str">
            <v>033.01</v>
          </cell>
          <cell r="B30" t="str">
            <v>Stair Construction #2</v>
          </cell>
          <cell r="D30" t="str">
            <v>Floors</v>
          </cell>
          <cell r="E30">
            <v>50000</v>
          </cell>
          <cell r="F30" t="str">
            <v>Open Stair to Level 2</v>
          </cell>
          <cell r="I30">
            <v>2</v>
          </cell>
          <cell r="J30">
            <v>100000</v>
          </cell>
          <cell r="K30">
            <v>0.75</v>
          </cell>
        </row>
        <row r="31">
          <cell r="A31" t="str">
            <v>033.02</v>
          </cell>
          <cell r="B31" t="str">
            <v>Stair Construction #3</v>
          </cell>
          <cell r="D31" t="str">
            <v>Floors</v>
          </cell>
          <cell r="J31">
            <v>0</v>
          </cell>
          <cell r="K31">
            <v>0</v>
          </cell>
        </row>
        <row r="32">
          <cell r="A32" t="str">
            <v>033.03</v>
          </cell>
          <cell r="B32" t="str">
            <v>Stair Construction #4</v>
          </cell>
          <cell r="D32" t="str">
            <v>Floors</v>
          </cell>
          <cell r="J32">
            <v>0</v>
          </cell>
          <cell r="K32">
            <v>0</v>
          </cell>
        </row>
        <row r="33">
          <cell r="A33" t="str">
            <v>041.00</v>
          </cell>
          <cell r="B33" t="str">
            <v>Exterior Wall: C1</v>
          </cell>
          <cell r="C33">
            <v>3</v>
          </cell>
          <cell r="D33" t="str">
            <v>SFwall</v>
          </cell>
          <cell r="E33">
            <v>80</v>
          </cell>
          <cell r="F33" t="str">
            <v>LSI Stone: 2'</v>
          </cell>
          <cell r="I33">
            <v>32258</v>
          </cell>
          <cell r="J33">
            <v>2580626.5</v>
          </cell>
          <cell r="K33">
            <v>19.36</v>
          </cell>
        </row>
        <row r="34">
          <cell r="A34" t="str">
            <v>041.01</v>
          </cell>
          <cell r="B34" t="str">
            <v>Exterior Wall: C2</v>
          </cell>
          <cell r="D34" t="str">
            <v>SFwall</v>
          </cell>
          <cell r="E34">
            <v>33</v>
          </cell>
          <cell r="F34" t="str">
            <v>Metal Panels (LSI)</v>
          </cell>
          <cell r="I34">
            <v>12240</v>
          </cell>
          <cell r="J34">
            <v>403920</v>
          </cell>
          <cell r="K34">
            <v>3.03</v>
          </cell>
        </row>
        <row r="35">
          <cell r="A35" t="str">
            <v>041.02</v>
          </cell>
          <cell r="B35" t="str">
            <v>Exterior Wall: C1p</v>
          </cell>
          <cell r="D35" t="str">
            <v>SFwall</v>
          </cell>
          <cell r="E35">
            <v>90</v>
          </cell>
          <cell r="F35" t="str">
            <v>Parapet LSI Stone: 2'</v>
          </cell>
          <cell r="I35">
            <v>2660</v>
          </cell>
          <cell r="J35">
            <v>239400</v>
          </cell>
          <cell r="K35">
            <v>1.8</v>
          </cell>
        </row>
        <row r="36">
          <cell r="A36" t="str">
            <v>041.03</v>
          </cell>
          <cell r="B36" t="str">
            <v>Exterior Wall: C2p</v>
          </cell>
          <cell r="D36" t="str">
            <v>SFwall</v>
          </cell>
          <cell r="E36">
            <v>43</v>
          </cell>
          <cell r="F36" t="str">
            <v>Parapet Metal Panels (LSI)</v>
          </cell>
          <cell r="I36">
            <v>612</v>
          </cell>
          <cell r="J36">
            <v>26316</v>
          </cell>
          <cell r="K36">
            <v>0.2</v>
          </cell>
        </row>
        <row r="37">
          <cell r="A37" t="str">
            <v>041.04</v>
          </cell>
          <cell r="B37" t="str">
            <v>Soffits</v>
          </cell>
          <cell r="D37" t="str">
            <v>SFwall</v>
          </cell>
          <cell r="E37">
            <v>8</v>
          </cell>
          <cell r="F37" t="str">
            <v>Plaster Soffits, Painted</v>
          </cell>
          <cell r="I37">
            <v>6081</v>
          </cell>
          <cell r="J37">
            <v>48648</v>
          </cell>
          <cell r="K37">
            <v>0.36</v>
          </cell>
        </row>
        <row r="38">
          <cell r="A38" t="str">
            <v>041.05</v>
          </cell>
          <cell r="B38" t="str">
            <v>Exterior Wall  #6</v>
          </cell>
          <cell r="J38">
            <v>0</v>
          </cell>
          <cell r="K38">
            <v>0</v>
          </cell>
        </row>
        <row r="39">
          <cell r="A39" t="str">
            <v>041.06</v>
          </cell>
          <cell r="B39" t="str">
            <v>Exterior Wall  #7</v>
          </cell>
          <cell r="J39">
            <v>0</v>
          </cell>
          <cell r="K39">
            <v>0</v>
          </cell>
        </row>
        <row r="40">
          <cell r="A40" t="str">
            <v>041.07</v>
          </cell>
          <cell r="B40" t="str">
            <v>Exterior Wall  #8</v>
          </cell>
          <cell r="J40">
            <v>0</v>
          </cell>
          <cell r="K40">
            <v>0</v>
          </cell>
        </row>
        <row r="41">
          <cell r="A41" t="str">
            <v>042.10</v>
          </cell>
          <cell r="B41" t="str">
            <v>Ext Doors #1</v>
          </cell>
          <cell r="D41" t="str">
            <v>Each</v>
          </cell>
          <cell r="E41">
            <v>2800</v>
          </cell>
          <cell r="F41" t="str">
            <v>Alum /Glass w/ Hardware: Single</v>
          </cell>
          <cell r="I41">
            <v>9</v>
          </cell>
          <cell r="J41">
            <v>25200</v>
          </cell>
          <cell r="K41">
            <v>0.19</v>
          </cell>
        </row>
        <row r="42">
          <cell r="A42" t="str">
            <v>042.11</v>
          </cell>
          <cell r="B42" t="str">
            <v>Ext Doors #2</v>
          </cell>
          <cell r="D42" t="str">
            <v>Each</v>
          </cell>
          <cell r="E42">
            <v>5600</v>
          </cell>
          <cell r="F42" t="str">
            <v>Alum /Glass w/ Hardware: Double</v>
          </cell>
          <cell r="I42">
            <v>5</v>
          </cell>
          <cell r="J42">
            <v>28000</v>
          </cell>
          <cell r="K42">
            <v>0.21</v>
          </cell>
        </row>
        <row r="43">
          <cell r="A43" t="str">
            <v>042.12</v>
          </cell>
          <cell r="B43" t="str">
            <v>Ext Doors #3</v>
          </cell>
          <cell r="D43" t="str">
            <v>Each</v>
          </cell>
          <cell r="E43">
            <v>1450</v>
          </cell>
          <cell r="F43" t="str">
            <v>HM Dr &amp; Fr: Single w/ Hardware</v>
          </cell>
          <cell r="I43">
            <v>3</v>
          </cell>
          <cell r="J43">
            <v>4350</v>
          </cell>
          <cell r="K43">
            <v>0.03</v>
          </cell>
        </row>
        <row r="44">
          <cell r="A44" t="str">
            <v>042.13</v>
          </cell>
          <cell r="B44" t="str">
            <v>Ext Doors #4</v>
          </cell>
          <cell r="D44" t="str">
            <v>Each</v>
          </cell>
          <cell r="E44">
            <v>2650</v>
          </cell>
          <cell r="F44" t="str">
            <v>HM Dr &amp; Fr: Double w/ Hardware</v>
          </cell>
          <cell r="I44">
            <v>0</v>
          </cell>
          <cell r="J44">
            <v>0</v>
          </cell>
          <cell r="K44">
            <v>0</v>
          </cell>
        </row>
        <row r="45">
          <cell r="A45" t="str">
            <v>042.14</v>
          </cell>
          <cell r="B45" t="str">
            <v>Ext Doors #5</v>
          </cell>
          <cell r="D45" t="str">
            <v>Each</v>
          </cell>
          <cell r="J45">
            <v>0</v>
          </cell>
          <cell r="K45">
            <v>0</v>
          </cell>
        </row>
        <row r="46">
          <cell r="A46" t="str">
            <v>042.15</v>
          </cell>
          <cell r="B46" t="str">
            <v>Door Operators</v>
          </cell>
          <cell r="C46">
            <v>2</v>
          </cell>
          <cell r="D46" t="str">
            <v>Each</v>
          </cell>
          <cell r="E46">
            <v>4000</v>
          </cell>
          <cell r="F46" t="str">
            <v>Automatic Door Operators</v>
          </cell>
          <cell r="I46">
            <v>5</v>
          </cell>
          <cell r="J46">
            <v>20000</v>
          </cell>
          <cell r="K46">
            <v>0.15</v>
          </cell>
        </row>
        <row r="47">
          <cell r="A47" t="str">
            <v>042.20</v>
          </cell>
          <cell r="B47" t="str">
            <v>Ext Windows #1</v>
          </cell>
          <cell r="C47">
            <v>3</v>
          </cell>
          <cell r="D47" t="str">
            <v>Each</v>
          </cell>
          <cell r="E47">
            <v>70</v>
          </cell>
          <cell r="F47" t="str">
            <v>Aluminum Punched (LSI)</v>
          </cell>
          <cell r="I47">
            <v>13189</v>
          </cell>
          <cell r="J47">
            <v>923230</v>
          </cell>
          <cell r="K47">
            <v>6.92</v>
          </cell>
        </row>
        <row r="48">
          <cell r="A48" t="str">
            <v>042.21</v>
          </cell>
          <cell r="B48" t="str">
            <v>Ext Windows #2</v>
          </cell>
          <cell r="D48" t="str">
            <v>SFwall</v>
          </cell>
          <cell r="E48">
            <v>38</v>
          </cell>
          <cell r="F48" t="str">
            <v>Aluminum Storefront</v>
          </cell>
          <cell r="I48">
            <v>9643</v>
          </cell>
          <cell r="J48">
            <v>366434</v>
          </cell>
          <cell r="K48">
            <v>2.75</v>
          </cell>
        </row>
        <row r="49">
          <cell r="A49" t="str">
            <v>042.22</v>
          </cell>
          <cell r="B49" t="str">
            <v>Ext Windows #3</v>
          </cell>
          <cell r="D49" t="str">
            <v>SFwall</v>
          </cell>
          <cell r="I49">
            <v>0</v>
          </cell>
          <cell r="J49">
            <v>0</v>
          </cell>
          <cell r="K49">
            <v>0</v>
          </cell>
        </row>
        <row r="50">
          <cell r="A50" t="str">
            <v>042.23</v>
          </cell>
          <cell r="B50" t="str">
            <v>Curtainwall #1</v>
          </cell>
          <cell r="D50" t="str">
            <v>SFwall</v>
          </cell>
          <cell r="E50">
            <v>65</v>
          </cell>
          <cell r="F50" t="str">
            <v>Straight</v>
          </cell>
          <cell r="I50">
            <v>5050</v>
          </cell>
          <cell r="J50">
            <v>328250</v>
          </cell>
          <cell r="K50">
            <v>2.46</v>
          </cell>
        </row>
        <row r="51">
          <cell r="A51" t="str">
            <v>042.24</v>
          </cell>
          <cell r="B51" t="str">
            <v>Curtainwall #2</v>
          </cell>
          <cell r="D51" t="str">
            <v>SFwall</v>
          </cell>
          <cell r="E51">
            <v>85</v>
          </cell>
          <cell r="F51" t="str">
            <v>Curved:</v>
          </cell>
          <cell r="I51">
            <v>760</v>
          </cell>
          <cell r="J51">
            <v>64600</v>
          </cell>
          <cell r="K51">
            <v>0.48</v>
          </cell>
        </row>
        <row r="52">
          <cell r="A52" t="str">
            <v>042.25</v>
          </cell>
          <cell r="B52" t="str">
            <v>Curtainwall #3</v>
          </cell>
          <cell r="D52" t="str">
            <v>SFwall</v>
          </cell>
          <cell r="E52">
            <v>75</v>
          </cell>
          <cell r="F52" t="str">
            <v>With Masonry Panels</v>
          </cell>
          <cell r="I52">
            <v>15700</v>
          </cell>
          <cell r="J52">
            <v>1177500</v>
          </cell>
          <cell r="K52">
            <v>8.83</v>
          </cell>
        </row>
        <row r="53">
          <cell r="A53" t="str">
            <v>042.26</v>
          </cell>
          <cell r="B53" t="str">
            <v>Ext Soffits</v>
          </cell>
          <cell r="D53" t="str">
            <v>SF Soffit</v>
          </cell>
          <cell r="E53">
            <v>8</v>
          </cell>
          <cell r="F53" t="str">
            <v>Plaster Soffits, Painted</v>
          </cell>
          <cell r="J53">
            <v>0</v>
          </cell>
          <cell r="K53">
            <v>0</v>
          </cell>
        </row>
        <row r="54">
          <cell r="A54" t="str">
            <v>050.10</v>
          </cell>
          <cell r="B54" t="str">
            <v>Roof Covering</v>
          </cell>
          <cell r="C54">
            <v>1</v>
          </cell>
          <cell r="D54" t="str">
            <v>SFroof</v>
          </cell>
          <cell r="E54">
            <v>2.6</v>
          </cell>
          <cell r="F54" t="str">
            <v>EDPM single ply roof,55 mil, fully adhered</v>
          </cell>
          <cell r="I54">
            <v>32578.625000000004</v>
          </cell>
          <cell r="J54">
            <v>84704.42500000002</v>
          </cell>
          <cell r="K54">
            <v>0.64</v>
          </cell>
        </row>
        <row r="55">
          <cell r="A55" t="str">
            <v>050.20</v>
          </cell>
          <cell r="B55" t="str">
            <v>Roof Insulation</v>
          </cell>
          <cell r="C55">
            <v>2</v>
          </cell>
          <cell r="D55" t="str">
            <v>SFroof</v>
          </cell>
          <cell r="E55">
            <v>1.6</v>
          </cell>
          <cell r="F55" t="str">
            <v>2" polystyrene-R10</v>
          </cell>
          <cell r="I55">
            <v>32578.625000000004</v>
          </cell>
          <cell r="J55">
            <v>52125.80000000001</v>
          </cell>
          <cell r="K55">
            <v>0.39</v>
          </cell>
        </row>
        <row r="56">
          <cell r="A56" t="str">
            <v>050.30</v>
          </cell>
          <cell r="B56" t="str">
            <v>Roof Edge</v>
          </cell>
          <cell r="C56">
            <v>3</v>
          </cell>
          <cell r="D56" t="str">
            <v>LFroofedge</v>
          </cell>
          <cell r="E56">
            <v>20</v>
          </cell>
          <cell r="F56" t="str">
            <v>Stone</v>
          </cell>
          <cell r="I56">
            <v>1060.965909090909</v>
          </cell>
          <cell r="J56">
            <v>21219.31818181818</v>
          </cell>
          <cell r="K56">
            <v>0.16</v>
          </cell>
        </row>
        <row r="57">
          <cell r="A57" t="str">
            <v>050.40</v>
          </cell>
          <cell r="B57" t="str">
            <v>Roof Skylight</v>
          </cell>
          <cell r="C57">
            <v>2</v>
          </cell>
          <cell r="D57" t="str">
            <v>SFskylight</v>
          </cell>
          <cell r="E57">
            <v>70</v>
          </cell>
          <cell r="F57" t="str">
            <v>Flat/sloped insulated skylight</v>
          </cell>
          <cell r="I57">
            <v>1262.388888888889</v>
          </cell>
          <cell r="J57">
            <v>88367.22222222222</v>
          </cell>
          <cell r="K57">
            <v>0.66</v>
          </cell>
        </row>
        <row r="58">
          <cell r="A58" t="str">
            <v>050.41</v>
          </cell>
          <cell r="B58" t="str">
            <v>Roof Hatches</v>
          </cell>
          <cell r="C58">
            <v>2</v>
          </cell>
          <cell r="D58" t="str">
            <v>Roof Accessories</v>
          </cell>
          <cell r="E58">
            <v>500</v>
          </cell>
          <cell r="F58" t="str">
            <v>Manual: 4ft x 4ft</v>
          </cell>
          <cell r="I58">
            <v>2</v>
          </cell>
          <cell r="J58">
            <v>1000</v>
          </cell>
          <cell r="K58">
            <v>0.01</v>
          </cell>
        </row>
        <row r="59">
          <cell r="A59" t="str">
            <v>061.11</v>
          </cell>
          <cell r="B59" t="str">
            <v>Int. Partitions, Type 1</v>
          </cell>
          <cell r="C59">
            <v>1</v>
          </cell>
          <cell r="D59" t="str">
            <v>SFpartition</v>
          </cell>
          <cell r="E59">
            <v>3.9</v>
          </cell>
          <cell r="F59" t="str">
            <v>Gypsum board on metal studs</v>
          </cell>
          <cell r="I59">
            <v>133325</v>
          </cell>
        </row>
        <row r="60">
          <cell r="B60" t="str">
            <v>All Areas</v>
          </cell>
          <cell r="C60">
            <v>1</v>
          </cell>
          <cell r="G60">
            <v>2706.4974999999877</v>
          </cell>
          <cell r="H60">
            <v>0.02029999999999991</v>
          </cell>
          <cell r="I60">
            <v>133325</v>
          </cell>
          <cell r="J60">
            <v>10555.340249999952</v>
          </cell>
          <cell r="K60">
            <v>0.08</v>
          </cell>
        </row>
        <row r="61">
          <cell r="B61" t="str">
            <v>N/A</v>
          </cell>
          <cell r="C61">
            <v>0</v>
          </cell>
          <cell r="H61">
            <v>1</v>
          </cell>
          <cell r="I61">
            <v>0</v>
          </cell>
          <cell r="J61">
            <v>0</v>
          </cell>
          <cell r="K61">
            <v>0</v>
          </cell>
        </row>
        <row r="62">
          <cell r="B62" t="str">
            <v>N/A</v>
          </cell>
          <cell r="C62">
            <v>0</v>
          </cell>
          <cell r="H62">
            <v>1</v>
          </cell>
          <cell r="I62">
            <v>0</v>
          </cell>
          <cell r="J62">
            <v>0</v>
          </cell>
          <cell r="K62">
            <v>0</v>
          </cell>
        </row>
        <row r="63">
          <cell r="A63" t="str">
            <v>061.12</v>
          </cell>
          <cell r="B63" t="str">
            <v>Int. Partitions, Type 2</v>
          </cell>
          <cell r="C63">
            <v>2</v>
          </cell>
          <cell r="D63" t="str">
            <v>SFpartition</v>
          </cell>
          <cell r="E63">
            <v>5.300000000000001</v>
          </cell>
          <cell r="F63" t="str">
            <v>Shaftwall on metal studs</v>
          </cell>
          <cell r="I63">
            <v>133325</v>
          </cell>
        </row>
        <row r="64">
          <cell r="B64" t="str">
            <v>All Areas</v>
          </cell>
          <cell r="C64">
            <v>1</v>
          </cell>
          <cell r="G64">
            <v>16598.9625</v>
          </cell>
          <cell r="H64">
            <v>0.1245</v>
          </cell>
          <cell r="I64">
            <v>133325</v>
          </cell>
          <cell r="J64">
            <v>87974.50125000002</v>
          </cell>
          <cell r="K64">
            <v>0.66</v>
          </cell>
        </row>
        <row r="65">
          <cell r="B65" t="str">
            <v>N/A</v>
          </cell>
          <cell r="C65">
            <v>0</v>
          </cell>
          <cell r="H65">
            <v>0</v>
          </cell>
          <cell r="I65">
            <v>0</v>
          </cell>
          <cell r="J65">
            <v>0</v>
          </cell>
          <cell r="K65">
            <v>0</v>
          </cell>
        </row>
        <row r="66">
          <cell r="B66" t="str">
            <v>N/A</v>
          </cell>
          <cell r="C66">
            <v>0</v>
          </cell>
          <cell r="H66">
            <v>0</v>
          </cell>
          <cell r="I66">
            <v>0</v>
          </cell>
          <cell r="J66">
            <v>0</v>
          </cell>
          <cell r="K66">
            <v>0</v>
          </cell>
        </row>
        <row r="67">
          <cell r="A67" t="str">
            <v>061.13</v>
          </cell>
          <cell r="B67" t="str">
            <v>Int. Partitions, Type 3</v>
          </cell>
          <cell r="C67">
            <v>5</v>
          </cell>
          <cell r="D67" t="str">
            <v>SFpartition</v>
          </cell>
          <cell r="E67">
            <v>20</v>
          </cell>
          <cell r="F67" t="str">
            <v>Custom wood &amp; glass</v>
          </cell>
          <cell r="I67">
            <v>133325</v>
          </cell>
        </row>
        <row r="68">
          <cell r="B68" t="str">
            <v>All Areas</v>
          </cell>
          <cell r="C68">
            <v>1</v>
          </cell>
          <cell r="G68">
            <v>1733.225</v>
          </cell>
          <cell r="H68">
            <v>0.013</v>
          </cell>
          <cell r="I68">
            <v>133325</v>
          </cell>
          <cell r="J68">
            <v>34664.5</v>
          </cell>
          <cell r="K68">
            <v>0.26</v>
          </cell>
        </row>
        <row r="69">
          <cell r="B69" t="str">
            <v>N/A</v>
          </cell>
          <cell r="C69">
            <v>0</v>
          </cell>
          <cell r="H69">
            <v>0</v>
          </cell>
          <cell r="I69">
            <v>0</v>
          </cell>
          <cell r="J69">
            <v>0</v>
          </cell>
          <cell r="K69">
            <v>0</v>
          </cell>
        </row>
        <row r="70">
          <cell r="B70" t="str">
            <v>N/A</v>
          </cell>
          <cell r="C70">
            <v>0</v>
          </cell>
          <cell r="H70">
            <v>0</v>
          </cell>
          <cell r="I70">
            <v>0</v>
          </cell>
          <cell r="J70">
            <v>0</v>
          </cell>
          <cell r="K70">
            <v>0</v>
          </cell>
        </row>
        <row r="71">
          <cell r="A71" t="str">
            <v>061.14</v>
          </cell>
          <cell r="B71" t="str">
            <v>Int. Partitions, Type 4</v>
          </cell>
          <cell r="C71">
            <v>3</v>
          </cell>
          <cell r="D71" t="str">
            <v>SFpartition</v>
          </cell>
          <cell r="E71">
            <v>4.55</v>
          </cell>
          <cell r="F71" t="str">
            <v>GWB: metal studs; 1 hour</v>
          </cell>
          <cell r="I71">
            <v>133325</v>
          </cell>
          <cell r="K71">
            <v>0</v>
          </cell>
        </row>
        <row r="72">
          <cell r="B72" t="str">
            <v>All Areas</v>
          </cell>
          <cell r="C72">
            <v>1</v>
          </cell>
          <cell r="G72">
            <v>63356.04</v>
          </cell>
          <cell r="H72">
            <v>0.4752</v>
          </cell>
          <cell r="I72">
            <v>133325</v>
          </cell>
          <cell r="J72">
            <v>288269.982</v>
          </cell>
          <cell r="K72">
            <v>2.16</v>
          </cell>
        </row>
        <row r="73">
          <cell r="B73" t="str">
            <v>N/A</v>
          </cell>
          <cell r="C73">
            <v>0</v>
          </cell>
          <cell r="H73">
            <v>0</v>
          </cell>
          <cell r="I73">
            <v>0</v>
          </cell>
          <cell r="J73">
            <v>0</v>
          </cell>
          <cell r="K73">
            <v>0</v>
          </cell>
        </row>
        <row r="74">
          <cell r="B74" t="str">
            <v>N/A</v>
          </cell>
          <cell r="C74">
            <v>0</v>
          </cell>
          <cell r="H74">
            <v>0</v>
          </cell>
          <cell r="I74">
            <v>0</v>
          </cell>
          <cell r="J74">
            <v>0</v>
          </cell>
          <cell r="K74">
            <v>0</v>
          </cell>
        </row>
        <row r="75">
          <cell r="A75" t="str">
            <v>061.15</v>
          </cell>
          <cell r="B75" t="str">
            <v>Int. Partitions, Type 5</v>
          </cell>
          <cell r="C75">
            <v>2</v>
          </cell>
          <cell r="D75" t="str">
            <v>SFpartition</v>
          </cell>
          <cell r="E75">
            <v>6.25</v>
          </cell>
          <cell r="F75" t="str">
            <v>GWB: metal studs; 2 hour</v>
          </cell>
          <cell r="I75">
            <v>133325</v>
          </cell>
        </row>
        <row r="76">
          <cell r="B76" t="str">
            <v>All Areas</v>
          </cell>
          <cell r="C76">
            <v>1</v>
          </cell>
          <cell r="G76">
            <v>20758.7025</v>
          </cell>
          <cell r="H76">
            <v>0.1557</v>
          </cell>
          <cell r="I76">
            <v>133325</v>
          </cell>
          <cell r="J76">
            <v>129741.890625</v>
          </cell>
          <cell r="K76">
            <v>0.97</v>
          </cell>
        </row>
        <row r="77">
          <cell r="B77" t="str">
            <v>N/A</v>
          </cell>
          <cell r="C77">
            <v>0</v>
          </cell>
          <cell r="H77">
            <v>0</v>
          </cell>
          <cell r="I77">
            <v>0</v>
          </cell>
          <cell r="J77">
            <v>0</v>
          </cell>
          <cell r="K77">
            <v>0</v>
          </cell>
        </row>
        <row r="78">
          <cell r="B78" t="str">
            <v>N/A</v>
          </cell>
          <cell r="C78">
            <v>0</v>
          </cell>
          <cell r="H78">
            <v>0</v>
          </cell>
          <cell r="I78">
            <v>0</v>
          </cell>
          <cell r="J78">
            <v>0</v>
          </cell>
          <cell r="K78">
            <v>0</v>
          </cell>
        </row>
        <row r="79">
          <cell r="A79" t="str">
            <v>061.16</v>
          </cell>
          <cell r="B79" t="str">
            <v>Int. Partitions, Type 6</v>
          </cell>
          <cell r="C79">
            <v>5</v>
          </cell>
          <cell r="D79" t="str">
            <v>SFpartition</v>
          </cell>
          <cell r="E79">
            <v>2.55</v>
          </cell>
          <cell r="F79" t="str">
            <v>GWB: metal furring</v>
          </cell>
          <cell r="I79">
            <v>133325</v>
          </cell>
        </row>
        <row r="80">
          <cell r="B80" t="str">
            <v>All Areas</v>
          </cell>
          <cell r="C80">
            <v>1</v>
          </cell>
          <cell r="G80">
            <v>26838.322500000002</v>
          </cell>
          <cell r="H80">
            <v>0.2013</v>
          </cell>
          <cell r="I80">
            <v>133325</v>
          </cell>
          <cell r="J80">
            <v>68437.722375</v>
          </cell>
          <cell r="K80">
            <v>0.51</v>
          </cell>
        </row>
        <row r="81">
          <cell r="B81" t="str">
            <v>N/A</v>
          </cell>
          <cell r="C81">
            <v>0</v>
          </cell>
          <cell r="H81">
            <v>0</v>
          </cell>
          <cell r="I81">
            <v>0</v>
          </cell>
          <cell r="J81">
            <v>0</v>
          </cell>
          <cell r="K81">
            <v>0</v>
          </cell>
        </row>
        <row r="82">
          <cell r="B82" t="str">
            <v>N/A</v>
          </cell>
          <cell r="C82">
            <v>0</v>
          </cell>
          <cell r="H82">
            <v>0</v>
          </cell>
          <cell r="I82">
            <v>0</v>
          </cell>
          <cell r="J82">
            <v>0</v>
          </cell>
          <cell r="K82">
            <v>0</v>
          </cell>
        </row>
        <row r="83">
          <cell r="A83" t="str">
            <v>061.17</v>
          </cell>
          <cell r="B83" t="str">
            <v>Int. Partitions, Type 7</v>
          </cell>
          <cell r="D83" t="str">
            <v>SFpartition</v>
          </cell>
          <cell r="E83">
            <v>35</v>
          </cell>
          <cell r="F83" t="str">
            <v>Interior Storefront @ Entrances</v>
          </cell>
          <cell r="I83">
            <v>133325</v>
          </cell>
          <cell r="K83">
            <v>0</v>
          </cell>
        </row>
        <row r="84">
          <cell r="B84" t="str">
            <v>All Areas</v>
          </cell>
          <cell r="C84">
            <v>1</v>
          </cell>
          <cell r="F84">
            <v>1470</v>
          </cell>
          <cell r="G84">
            <v>1333.25</v>
          </cell>
          <cell r="H84">
            <v>0.01</v>
          </cell>
          <cell r="I84">
            <v>133325</v>
          </cell>
          <cell r="J84">
            <v>46663.75</v>
          </cell>
          <cell r="K84">
            <v>0.35</v>
          </cell>
        </row>
        <row r="85">
          <cell r="B85" t="str">
            <v>N/A</v>
          </cell>
          <cell r="C85">
            <v>0</v>
          </cell>
          <cell r="H85">
            <v>0</v>
          </cell>
          <cell r="I85">
            <v>0</v>
          </cell>
          <cell r="J85">
            <v>0</v>
          </cell>
          <cell r="K85">
            <v>0</v>
          </cell>
        </row>
        <row r="86">
          <cell r="B86" t="str">
            <v>N/A</v>
          </cell>
          <cell r="C86">
            <v>0</v>
          </cell>
          <cell r="H86">
            <v>0</v>
          </cell>
          <cell r="I86">
            <v>0</v>
          </cell>
          <cell r="J86">
            <v>0</v>
          </cell>
          <cell r="K86">
            <v>0</v>
          </cell>
        </row>
        <row r="87">
          <cell r="A87" t="str">
            <v>061.20</v>
          </cell>
          <cell r="B87" t="str">
            <v>Interior Doors #1</v>
          </cell>
          <cell r="C87">
            <v>3</v>
          </cell>
          <cell r="D87" t="str">
            <v>Each</v>
          </cell>
          <cell r="E87">
            <v>1200</v>
          </cell>
          <cell r="F87" t="str">
            <v>Sld core, oak, HM FR, incl hdwr w/ 80% sidelighted</v>
          </cell>
          <cell r="I87">
            <v>216.31562499999998</v>
          </cell>
          <cell r="J87">
            <v>259578.74999999997</v>
          </cell>
          <cell r="K87">
            <v>1.95</v>
          </cell>
        </row>
        <row r="88">
          <cell r="A88" t="str">
            <v>061.21</v>
          </cell>
          <cell r="B88" t="str">
            <v>Interior Doors #2</v>
          </cell>
          <cell r="C88">
            <v>3</v>
          </cell>
          <cell r="D88" t="str">
            <v>Each</v>
          </cell>
          <cell r="E88">
            <v>2250</v>
          </cell>
          <cell r="F88" t="str">
            <v>Wood Panel Doors, ala LSI</v>
          </cell>
          <cell r="G88">
            <v>67</v>
          </cell>
          <cell r="I88">
            <v>67</v>
          </cell>
          <cell r="J88">
            <v>150750</v>
          </cell>
          <cell r="K88">
            <v>1.13</v>
          </cell>
        </row>
        <row r="89">
          <cell r="A89" t="str">
            <v>061.22</v>
          </cell>
          <cell r="B89" t="str">
            <v>Interior Doors #3</v>
          </cell>
          <cell r="C89">
            <v>2</v>
          </cell>
          <cell r="D89" t="str">
            <v>Each</v>
          </cell>
          <cell r="E89">
            <v>1135</v>
          </cell>
          <cell r="F89" t="str">
            <v>Hollow metal, incl hdwre</v>
          </cell>
          <cell r="I89">
            <v>16.665625000000002</v>
          </cell>
          <cell r="J89">
            <v>18915.484375000004</v>
          </cell>
          <cell r="K89">
            <v>0.14</v>
          </cell>
        </row>
        <row r="90">
          <cell r="A90" t="str">
            <v>061.23</v>
          </cell>
          <cell r="B90" t="str">
            <v>Interior Doors #4</v>
          </cell>
          <cell r="C90">
            <v>3</v>
          </cell>
          <cell r="D90" t="str">
            <v>Each</v>
          </cell>
          <cell r="E90">
            <v>1300</v>
          </cell>
          <cell r="F90" t="str">
            <v>Glass &amp; Aluminum</v>
          </cell>
          <cell r="I90">
            <v>33.331250000000004</v>
          </cell>
          <cell r="J90">
            <v>43330.62500000001</v>
          </cell>
          <cell r="K90">
            <v>0.33</v>
          </cell>
        </row>
        <row r="91">
          <cell r="A91" t="str">
            <v>061.24</v>
          </cell>
          <cell r="B91" t="str">
            <v>Interior Doors #5</v>
          </cell>
          <cell r="C91">
            <v>4</v>
          </cell>
          <cell r="D91" t="str">
            <v>Each</v>
          </cell>
          <cell r="E91">
            <v>342</v>
          </cell>
          <cell r="F91" t="str">
            <v>Sidelights</v>
          </cell>
          <cell r="I91">
            <v>108.15781249999999</v>
          </cell>
          <cell r="J91">
            <v>36989.971874999996</v>
          </cell>
          <cell r="K91">
            <v>0.28</v>
          </cell>
        </row>
        <row r="92">
          <cell r="A92" t="str">
            <v>062.11</v>
          </cell>
          <cell r="B92" t="str">
            <v>Floor Finish, Type 1</v>
          </cell>
          <cell r="C92">
            <v>1</v>
          </cell>
          <cell r="D92" t="str">
            <v>SF floor</v>
          </cell>
          <cell r="E92">
            <v>3.1999999999999997</v>
          </cell>
          <cell r="F92" t="str">
            <v>Vinyl Tile: 12" Solid</v>
          </cell>
          <cell r="I92">
            <v>133325</v>
          </cell>
        </row>
        <row r="93">
          <cell r="B93" t="str">
            <v>All Areas</v>
          </cell>
          <cell r="C93">
            <v>1</v>
          </cell>
          <cell r="F93">
            <v>35138</v>
          </cell>
          <cell r="G93">
            <v>35344.45749999998</v>
          </cell>
          <cell r="H93">
            <v>0.2650999999999999</v>
          </cell>
          <cell r="I93">
            <v>133325</v>
          </cell>
          <cell r="J93">
            <v>113102.26399999994</v>
          </cell>
          <cell r="K93">
            <v>0.85</v>
          </cell>
        </row>
        <row r="94">
          <cell r="B94" t="str">
            <v>N/A</v>
          </cell>
          <cell r="C94">
            <v>0</v>
          </cell>
          <cell r="H94">
            <v>1</v>
          </cell>
          <cell r="I94">
            <v>0</v>
          </cell>
          <cell r="J94">
            <v>0</v>
          </cell>
          <cell r="K94">
            <v>0</v>
          </cell>
        </row>
        <row r="95">
          <cell r="B95" t="str">
            <v>N/A</v>
          </cell>
          <cell r="C95">
            <v>0</v>
          </cell>
          <cell r="H95">
            <v>1</v>
          </cell>
          <cell r="I95">
            <v>0</v>
          </cell>
          <cell r="J95">
            <v>0</v>
          </cell>
          <cell r="K95">
            <v>0</v>
          </cell>
        </row>
        <row r="96">
          <cell r="A96" t="str">
            <v>062.12</v>
          </cell>
          <cell r="B96" t="str">
            <v>Floor Finish, Type 2</v>
          </cell>
          <cell r="C96">
            <v>5</v>
          </cell>
          <cell r="D96" t="str">
            <v>SF floor</v>
          </cell>
          <cell r="E96">
            <v>10</v>
          </cell>
          <cell r="F96" t="str">
            <v>Ceramic tile</v>
          </cell>
          <cell r="I96">
            <v>133325</v>
          </cell>
        </row>
        <row r="97">
          <cell r="B97" t="str">
            <v>All Areas</v>
          </cell>
          <cell r="C97">
            <v>1</v>
          </cell>
          <cell r="F97">
            <v>3168</v>
          </cell>
          <cell r="G97">
            <v>3173.135</v>
          </cell>
          <cell r="H97">
            <v>0.0238</v>
          </cell>
          <cell r="I97">
            <v>133325</v>
          </cell>
          <cell r="J97">
            <v>31731.350000000002</v>
          </cell>
          <cell r="K97">
            <v>0.24</v>
          </cell>
        </row>
        <row r="98">
          <cell r="B98" t="str">
            <v>N/A</v>
          </cell>
          <cell r="C98">
            <v>0</v>
          </cell>
          <cell r="H98">
            <v>0</v>
          </cell>
          <cell r="I98">
            <v>0</v>
          </cell>
          <cell r="J98">
            <v>0</v>
          </cell>
          <cell r="K98">
            <v>0</v>
          </cell>
        </row>
        <row r="99">
          <cell r="B99" t="str">
            <v>N/A</v>
          </cell>
          <cell r="C99">
            <v>0</v>
          </cell>
          <cell r="H99">
            <v>0</v>
          </cell>
          <cell r="I99">
            <v>0</v>
          </cell>
          <cell r="J99">
            <v>0</v>
          </cell>
          <cell r="K99">
            <v>0</v>
          </cell>
        </row>
        <row r="100">
          <cell r="A100" t="str">
            <v>062.13</v>
          </cell>
          <cell r="B100" t="str">
            <v>Floor Finish, Type 3</v>
          </cell>
          <cell r="C100">
            <v>3</v>
          </cell>
          <cell r="D100" t="str">
            <v>SF floor</v>
          </cell>
          <cell r="E100">
            <v>4</v>
          </cell>
          <cell r="F100" t="str">
            <v>Carpet + padding</v>
          </cell>
          <cell r="I100">
            <v>133325</v>
          </cell>
        </row>
        <row r="101">
          <cell r="B101" t="str">
            <v>All Areas</v>
          </cell>
          <cell r="C101">
            <v>1</v>
          </cell>
          <cell r="G101">
            <v>63502.6975</v>
          </cell>
          <cell r="H101">
            <v>0.4763</v>
          </cell>
          <cell r="I101">
            <v>133325</v>
          </cell>
          <cell r="J101">
            <v>254010.79</v>
          </cell>
          <cell r="K101">
            <v>1.91</v>
          </cell>
        </row>
        <row r="102">
          <cell r="B102" t="str">
            <v>N/A</v>
          </cell>
          <cell r="C102">
            <v>0</v>
          </cell>
          <cell r="H102">
            <v>0</v>
          </cell>
          <cell r="I102">
            <v>0</v>
          </cell>
          <cell r="J102">
            <v>0</v>
          </cell>
          <cell r="K102">
            <v>0</v>
          </cell>
        </row>
        <row r="103">
          <cell r="B103" t="str">
            <v>N/A</v>
          </cell>
          <cell r="C103">
            <v>0</v>
          </cell>
          <cell r="H103">
            <v>0</v>
          </cell>
          <cell r="I103">
            <v>0</v>
          </cell>
          <cell r="J103">
            <v>0</v>
          </cell>
          <cell r="K103">
            <v>0</v>
          </cell>
        </row>
        <row r="104">
          <cell r="A104" t="str">
            <v>062.14</v>
          </cell>
          <cell r="B104" t="str">
            <v>Floor Finish, Type 4</v>
          </cell>
          <cell r="C104">
            <v>6</v>
          </cell>
          <cell r="D104" t="str">
            <v>SF floor</v>
          </cell>
          <cell r="E104">
            <v>20.2</v>
          </cell>
          <cell r="F104" t="str">
            <v>Full-bed Stone Floor</v>
          </cell>
          <cell r="I104">
            <v>133325</v>
          </cell>
        </row>
        <row r="105">
          <cell r="B105" t="str">
            <v>All Areas</v>
          </cell>
          <cell r="C105">
            <v>1</v>
          </cell>
          <cell r="F105">
            <v>7324</v>
          </cell>
          <cell r="G105">
            <v>7332.875</v>
          </cell>
          <cell r="H105">
            <v>0.055</v>
          </cell>
          <cell r="I105">
            <v>133325</v>
          </cell>
          <cell r="J105">
            <v>148124.07499999998</v>
          </cell>
          <cell r="K105">
            <v>1.11</v>
          </cell>
        </row>
        <row r="106">
          <cell r="B106" t="str">
            <v>N/A</v>
          </cell>
          <cell r="C106">
            <v>0</v>
          </cell>
          <cell r="H106">
            <v>0</v>
          </cell>
          <cell r="I106">
            <v>0</v>
          </cell>
          <cell r="J106">
            <v>0</v>
          </cell>
          <cell r="K106">
            <v>0</v>
          </cell>
        </row>
        <row r="107">
          <cell r="B107" t="str">
            <v>N/A</v>
          </cell>
          <cell r="C107">
            <v>0</v>
          </cell>
          <cell r="H107">
            <v>0</v>
          </cell>
          <cell r="I107">
            <v>0</v>
          </cell>
          <cell r="J107">
            <v>0</v>
          </cell>
          <cell r="K107">
            <v>0</v>
          </cell>
        </row>
        <row r="108">
          <cell r="A108" t="str">
            <v>062.15</v>
          </cell>
          <cell r="B108" t="str">
            <v>Floor Finish, Type 5</v>
          </cell>
          <cell r="C108">
            <v>1</v>
          </cell>
          <cell r="D108" t="str">
            <v>SF floor</v>
          </cell>
          <cell r="E108">
            <v>1</v>
          </cell>
          <cell r="F108" t="str">
            <v>Sealed Concrete</v>
          </cell>
          <cell r="I108">
            <v>133325</v>
          </cell>
        </row>
        <row r="109">
          <cell r="B109" t="str">
            <v>All Areas</v>
          </cell>
          <cell r="C109">
            <v>1</v>
          </cell>
          <cell r="F109">
            <v>17820</v>
          </cell>
          <cell r="G109">
            <v>17825.5525</v>
          </cell>
          <cell r="H109">
            <v>0.1337</v>
          </cell>
          <cell r="I109">
            <v>133325</v>
          </cell>
          <cell r="J109">
            <v>17825.5525</v>
          </cell>
          <cell r="K109">
            <v>0.13</v>
          </cell>
        </row>
        <row r="110">
          <cell r="B110" t="str">
            <v>N/A</v>
          </cell>
          <cell r="C110">
            <v>0</v>
          </cell>
          <cell r="H110">
            <v>0</v>
          </cell>
          <cell r="I110">
            <v>0</v>
          </cell>
          <cell r="J110">
            <v>0</v>
          </cell>
          <cell r="K110">
            <v>0</v>
          </cell>
        </row>
        <row r="111">
          <cell r="B111" t="str">
            <v>N/A</v>
          </cell>
          <cell r="C111">
            <v>0</v>
          </cell>
          <cell r="H111">
            <v>0</v>
          </cell>
          <cell r="I111">
            <v>0</v>
          </cell>
          <cell r="J111">
            <v>0</v>
          </cell>
          <cell r="K111">
            <v>0</v>
          </cell>
        </row>
        <row r="112">
          <cell r="A112" t="str">
            <v>062.16</v>
          </cell>
          <cell r="B112" t="str">
            <v>Floor Finish, Type 6</v>
          </cell>
          <cell r="C112">
            <v>3</v>
          </cell>
          <cell r="D112" t="str">
            <v>SF floor</v>
          </cell>
          <cell r="E112">
            <v>4</v>
          </cell>
          <cell r="F112" t="str">
            <v>Carpet + padding</v>
          </cell>
          <cell r="I112">
            <v>133325</v>
          </cell>
        </row>
        <row r="113">
          <cell r="B113" t="str">
            <v>All Areas</v>
          </cell>
          <cell r="C113">
            <v>1</v>
          </cell>
          <cell r="G113">
            <v>0</v>
          </cell>
          <cell r="H113">
            <v>0</v>
          </cell>
          <cell r="I113">
            <v>133325</v>
          </cell>
          <cell r="J113">
            <v>0</v>
          </cell>
          <cell r="K113">
            <v>0</v>
          </cell>
        </row>
        <row r="114">
          <cell r="B114" t="str">
            <v>N/A</v>
          </cell>
          <cell r="C114">
            <v>0</v>
          </cell>
          <cell r="H114">
            <v>0</v>
          </cell>
          <cell r="I114">
            <v>0</v>
          </cell>
          <cell r="J114">
            <v>0</v>
          </cell>
          <cell r="K114">
            <v>0</v>
          </cell>
        </row>
        <row r="115">
          <cell r="B115" t="str">
            <v>N/A</v>
          </cell>
          <cell r="C115">
            <v>0</v>
          </cell>
          <cell r="H115">
            <v>0</v>
          </cell>
          <cell r="I115">
            <v>0</v>
          </cell>
          <cell r="J115">
            <v>0</v>
          </cell>
          <cell r="K115">
            <v>0</v>
          </cell>
        </row>
        <row r="116">
          <cell r="A116" t="str">
            <v>062.17</v>
          </cell>
          <cell r="B116" t="str">
            <v>Floor Finish, Type 7</v>
          </cell>
          <cell r="C116">
            <v>6</v>
          </cell>
          <cell r="D116" t="str">
            <v>SF floor</v>
          </cell>
          <cell r="E116">
            <v>16</v>
          </cell>
          <cell r="F116" t="str">
            <v>Porcelain Tile</v>
          </cell>
          <cell r="I116">
            <v>133325</v>
          </cell>
        </row>
        <row r="117">
          <cell r="B117" t="str">
            <v>All Areas</v>
          </cell>
          <cell r="C117">
            <v>1</v>
          </cell>
          <cell r="G117">
            <v>6144</v>
          </cell>
          <cell r="H117">
            <v>0.0461</v>
          </cell>
          <cell r="I117">
            <v>133325</v>
          </cell>
          <cell r="J117">
            <v>98340.52</v>
          </cell>
          <cell r="K117">
            <v>0.74</v>
          </cell>
        </row>
        <row r="118">
          <cell r="B118" t="str">
            <v>N/A</v>
          </cell>
          <cell r="C118">
            <v>0</v>
          </cell>
          <cell r="H118">
            <v>0</v>
          </cell>
          <cell r="I118">
            <v>0</v>
          </cell>
          <cell r="J118">
            <v>0</v>
          </cell>
          <cell r="K118">
            <v>0</v>
          </cell>
        </row>
        <row r="119">
          <cell r="B119" t="str">
            <v>N/A</v>
          </cell>
          <cell r="C119">
            <v>0</v>
          </cell>
          <cell r="H119">
            <v>0</v>
          </cell>
          <cell r="I119">
            <v>0</v>
          </cell>
          <cell r="J119">
            <v>0</v>
          </cell>
          <cell r="K119">
            <v>0</v>
          </cell>
        </row>
        <row r="120">
          <cell r="A120" t="str">
            <v>062.21</v>
          </cell>
          <cell r="B120" t="str">
            <v>Int. Wall Finish, Type 1</v>
          </cell>
          <cell r="C120">
            <v>2</v>
          </cell>
          <cell r="D120" t="str">
            <v>SF surface</v>
          </cell>
          <cell r="E120">
            <v>0.49999999999999994</v>
          </cell>
          <cell r="F120" t="str">
            <v>Paint, primer + 2 coats </v>
          </cell>
          <cell r="I120">
            <v>300420.875</v>
          </cell>
        </row>
        <row r="121">
          <cell r="B121" t="str">
            <v>All Areas</v>
          </cell>
          <cell r="C121">
            <v>1</v>
          </cell>
          <cell r="G121">
            <v>228319.86499999996</v>
          </cell>
          <cell r="H121">
            <v>0.7599999999999999</v>
          </cell>
          <cell r="I121">
            <v>300420.875</v>
          </cell>
          <cell r="J121">
            <v>114159.93249999997</v>
          </cell>
          <cell r="K121">
            <v>0.86</v>
          </cell>
        </row>
        <row r="122">
          <cell r="B122" t="str">
            <v>N/A</v>
          </cell>
          <cell r="C122">
            <v>0</v>
          </cell>
          <cell r="H122">
            <v>1</v>
          </cell>
          <cell r="I122">
            <v>0</v>
          </cell>
          <cell r="J122">
            <v>0</v>
          </cell>
          <cell r="K122">
            <v>0</v>
          </cell>
        </row>
        <row r="123">
          <cell r="B123" t="str">
            <v>N/A</v>
          </cell>
          <cell r="C123">
            <v>0</v>
          </cell>
          <cell r="H123">
            <v>1</v>
          </cell>
          <cell r="I123">
            <v>0</v>
          </cell>
          <cell r="J123">
            <v>0</v>
          </cell>
          <cell r="K123">
            <v>0</v>
          </cell>
        </row>
        <row r="124">
          <cell r="A124" t="str">
            <v>062.22</v>
          </cell>
          <cell r="B124" t="str">
            <v>Int. Wall Finish, Type 2</v>
          </cell>
          <cell r="C124">
            <v>8</v>
          </cell>
          <cell r="D124" t="str">
            <v>SF surface</v>
          </cell>
          <cell r="E124">
            <v>15</v>
          </cell>
          <cell r="F124" t="str">
            <v>Acoustic Panels</v>
          </cell>
          <cell r="I124">
            <v>300420.875</v>
          </cell>
        </row>
        <row r="125">
          <cell r="B125" t="str">
            <v>All Areas</v>
          </cell>
          <cell r="C125">
            <v>1</v>
          </cell>
          <cell r="G125">
            <v>6008.417499999997</v>
          </cell>
          <cell r="H125">
            <v>0.01999999999999999</v>
          </cell>
          <cell r="I125">
            <v>300420.875</v>
          </cell>
          <cell r="J125">
            <v>90126.26249999995</v>
          </cell>
          <cell r="K125">
            <v>0.68</v>
          </cell>
        </row>
        <row r="126">
          <cell r="B126" t="str">
            <v>N/A</v>
          </cell>
          <cell r="C126">
            <v>0</v>
          </cell>
          <cell r="H126">
            <v>0</v>
          </cell>
          <cell r="I126">
            <v>0</v>
          </cell>
          <cell r="J126">
            <v>0</v>
          </cell>
          <cell r="K126">
            <v>0</v>
          </cell>
        </row>
        <row r="127">
          <cell r="B127" t="str">
            <v>N/A</v>
          </cell>
          <cell r="C127">
            <v>0</v>
          </cell>
          <cell r="H127">
            <v>0</v>
          </cell>
          <cell r="I127">
            <v>0</v>
          </cell>
          <cell r="J127">
            <v>0</v>
          </cell>
          <cell r="K127">
            <v>0</v>
          </cell>
        </row>
        <row r="128">
          <cell r="A128" t="str">
            <v>062.23</v>
          </cell>
          <cell r="B128" t="str">
            <v>Int. Wall Finish, Type 3</v>
          </cell>
          <cell r="C128">
            <v>5</v>
          </cell>
          <cell r="D128" t="str">
            <v>SF surface</v>
          </cell>
          <cell r="E128">
            <v>9</v>
          </cell>
          <cell r="F128" t="str">
            <v>Ceramic tile,adhesive, 4"x4"</v>
          </cell>
          <cell r="I128">
            <v>300420.875</v>
          </cell>
        </row>
        <row r="129">
          <cell r="B129" t="str">
            <v>All Areas</v>
          </cell>
          <cell r="C129">
            <v>1</v>
          </cell>
          <cell r="G129">
            <v>15021.04375</v>
          </cell>
          <cell r="H129">
            <v>0.05</v>
          </cell>
          <cell r="I129">
            <v>300420.875</v>
          </cell>
          <cell r="J129">
            <v>135189.39375000002</v>
          </cell>
          <cell r="K129">
            <v>1.01</v>
          </cell>
        </row>
        <row r="130">
          <cell r="B130" t="str">
            <v>N/A</v>
          </cell>
          <cell r="C130">
            <v>0</v>
          </cell>
          <cell r="H130">
            <v>0</v>
          </cell>
          <cell r="I130">
            <v>0</v>
          </cell>
          <cell r="J130">
            <v>0</v>
          </cell>
          <cell r="K130">
            <v>0</v>
          </cell>
        </row>
        <row r="131">
          <cell r="B131" t="str">
            <v>N/A</v>
          </cell>
          <cell r="C131">
            <v>0</v>
          </cell>
          <cell r="H131">
            <v>0</v>
          </cell>
          <cell r="I131">
            <v>0</v>
          </cell>
          <cell r="J131">
            <v>0</v>
          </cell>
          <cell r="K131">
            <v>0</v>
          </cell>
        </row>
        <row r="132">
          <cell r="A132" t="str">
            <v>062.24</v>
          </cell>
          <cell r="B132" t="str">
            <v>Int. Wall Finish, Type 4</v>
          </cell>
          <cell r="C132">
            <v>6</v>
          </cell>
          <cell r="D132" t="str">
            <v>SF surface</v>
          </cell>
          <cell r="E132">
            <v>12.9</v>
          </cell>
          <cell r="F132" t="str">
            <v>Pre-finished Wainscot</v>
          </cell>
          <cell r="I132">
            <v>300420.875</v>
          </cell>
        </row>
        <row r="133">
          <cell r="B133" t="str">
            <v>All Areas</v>
          </cell>
          <cell r="C133">
            <v>1</v>
          </cell>
          <cell r="F133" t="str">
            <v>Approximate Allowance Amount&gt;&gt;&gt;&gt;</v>
          </cell>
          <cell r="G133">
            <v>30042.0875</v>
          </cell>
          <cell r="H133">
            <v>0.1</v>
          </cell>
          <cell r="I133">
            <v>300420.875</v>
          </cell>
          <cell r="J133">
            <v>387542.92875</v>
          </cell>
          <cell r="K133">
            <v>2.91</v>
          </cell>
        </row>
        <row r="134">
          <cell r="B134" t="str">
            <v>N/A</v>
          </cell>
          <cell r="C134">
            <v>0</v>
          </cell>
          <cell r="H134">
            <v>0</v>
          </cell>
          <cell r="I134">
            <v>0</v>
          </cell>
          <cell r="J134">
            <v>0</v>
          </cell>
          <cell r="K134">
            <v>0</v>
          </cell>
        </row>
        <row r="135">
          <cell r="B135" t="str">
            <v>N/A</v>
          </cell>
          <cell r="C135">
            <v>0</v>
          </cell>
          <cell r="H135">
            <v>0</v>
          </cell>
          <cell r="I135">
            <v>0</v>
          </cell>
          <cell r="J135">
            <v>0</v>
          </cell>
          <cell r="K135">
            <v>0</v>
          </cell>
        </row>
        <row r="136">
          <cell r="A136" t="str">
            <v>062.25</v>
          </cell>
          <cell r="B136" t="str">
            <v>Int. Wall Finish, Type 5</v>
          </cell>
          <cell r="C136">
            <v>8</v>
          </cell>
          <cell r="D136" t="str">
            <v>SF surface</v>
          </cell>
          <cell r="E136">
            <v>15</v>
          </cell>
          <cell r="F136" t="str">
            <v>Special Wall finish: Public Space</v>
          </cell>
          <cell r="I136">
            <v>300420.875</v>
          </cell>
        </row>
        <row r="137">
          <cell r="B137" t="str">
            <v>All Areas</v>
          </cell>
          <cell r="C137">
            <v>1</v>
          </cell>
          <cell r="G137">
            <v>15021.04375</v>
          </cell>
          <cell r="H137">
            <v>0.05</v>
          </cell>
          <cell r="I137">
            <v>300420.875</v>
          </cell>
          <cell r="J137">
            <v>225315.65625</v>
          </cell>
          <cell r="K137">
            <v>1.69</v>
          </cell>
        </row>
        <row r="138">
          <cell r="B138" t="str">
            <v>N/A</v>
          </cell>
          <cell r="C138">
            <v>0</v>
          </cell>
          <cell r="H138">
            <v>0</v>
          </cell>
          <cell r="I138">
            <v>0</v>
          </cell>
          <cell r="J138">
            <v>0</v>
          </cell>
          <cell r="K138">
            <v>0</v>
          </cell>
        </row>
        <row r="139">
          <cell r="B139" t="str">
            <v>N/A</v>
          </cell>
          <cell r="C139">
            <v>0</v>
          </cell>
          <cell r="H139">
            <v>0</v>
          </cell>
          <cell r="I139">
            <v>0</v>
          </cell>
          <cell r="J139">
            <v>0</v>
          </cell>
          <cell r="K139">
            <v>0</v>
          </cell>
        </row>
        <row r="140">
          <cell r="A140" t="str">
            <v>062.26</v>
          </cell>
          <cell r="B140" t="str">
            <v>Int. Wall Finish, Type 6</v>
          </cell>
          <cell r="C140">
            <v>4</v>
          </cell>
          <cell r="D140" t="str">
            <v>SF surface</v>
          </cell>
          <cell r="E140">
            <v>3.5</v>
          </cell>
          <cell r="F140" t="str">
            <v>Epoxy Coating</v>
          </cell>
          <cell r="I140">
            <v>300420.875</v>
          </cell>
        </row>
        <row r="141">
          <cell r="B141" t="str">
            <v>All Areas</v>
          </cell>
          <cell r="C141">
            <v>1</v>
          </cell>
          <cell r="G141">
            <v>6008.4175000000005</v>
          </cell>
          <cell r="H141">
            <v>0.02</v>
          </cell>
          <cell r="I141">
            <v>300420.875</v>
          </cell>
          <cell r="J141">
            <v>21029.46125</v>
          </cell>
          <cell r="K141">
            <v>0.16</v>
          </cell>
        </row>
        <row r="142">
          <cell r="B142" t="str">
            <v>N/A</v>
          </cell>
          <cell r="C142">
            <v>0</v>
          </cell>
          <cell r="H142">
            <v>0</v>
          </cell>
          <cell r="I142">
            <v>0</v>
          </cell>
          <cell r="J142">
            <v>0</v>
          </cell>
          <cell r="K142">
            <v>0</v>
          </cell>
        </row>
        <row r="143">
          <cell r="B143" t="str">
            <v>N/A</v>
          </cell>
          <cell r="C143">
            <v>0</v>
          </cell>
          <cell r="H143">
            <v>0</v>
          </cell>
          <cell r="I143">
            <v>0</v>
          </cell>
          <cell r="J143">
            <v>0</v>
          </cell>
          <cell r="K143">
            <v>0</v>
          </cell>
        </row>
        <row r="144">
          <cell r="A144" t="str">
            <v>062.27</v>
          </cell>
          <cell r="B144" t="str">
            <v>Int. Wall Finish, Type 7</v>
          </cell>
          <cell r="C144">
            <v>6</v>
          </cell>
          <cell r="D144" t="str">
            <v>SF surface</v>
          </cell>
          <cell r="E144">
            <v>12.9</v>
          </cell>
          <cell r="F144" t="str">
            <v>Pre-finished Wainscot</v>
          </cell>
          <cell r="I144">
            <v>300420.875</v>
          </cell>
        </row>
        <row r="145">
          <cell r="B145" t="str">
            <v>All Areas</v>
          </cell>
          <cell r="C145">
            <v>1</v>
          </cell>
          <cell r="G145">
            <v>0</v>
          </cell>
          <cell r="H145">
            <v>0</v>
          </cell>
          <cell r="I145">
            <v>300420.875</v>
          </cell>
          <cell r="J145">
            <v>0</v>
          </cell>
          <cell r="K145">
            <v>0</v>
          </cell>
        </row>
        <row r="146">
          <cell r="B146" t="str">
            <v>N/A</v>
          </cell>
          <cell r="C146">
            <v>0</v>
          </cell>
          <cell r="H146">
            <v>0</v>
          </cell>
          <cell r="I146">
            <v>0</v>
          </cell>
          <cell r="J146">
            <v>0</v>
          </cell>
          <cell r="K146">
            <v>0</v>
          </cell>
        </row>
        <row r="147">
          <cell r="B147" t="str">
            <v>N/A</v>
          </cell>
          <cell r="C147">
            <v>0</v>
          </cell>
          <cell r="H147">
            <v>0</v>
          </cell>
          <cell r="I147">
            <v>0</v>
          </cell>
          <cell r="J147">
            <v>0</v>
          </cell>
          <cell r="K147">
            <v>0</v>
          </cell>
        </row>
        <row r="148">
          <cell r="A148" t="str">
            <v>062.41</v>
          </cell>
          <cell r="B148" t="str">
            <v>Ceiling Finish, Type 1</v>
          </cell>
          <cell r="C148">
            <v>3</v>
          </cell>
          <cell r="D148" t="str">
            <v>SF ceiling</v>
          </cell>
          <cell r="E148">
            <v>2.5</v>
          </cell>
          <cell r="F148" t="str">
            <v>Architectural acoustic tile, no sound insul</v>
          </cell>
          <cell r="I148">
            <v>133325</v>
          </cell>
        </row>
        <row r="149">
          <cell r="B149" t="str">
            <v>All Areas</v>
          </cell>
          <cell r="C149">
            <v>1</v>
          </cell>
          <cell r="F149" t="str">
            <v>Applied</v>
          </cell>
          <cell r="G149">
            <v>39570.86</v>
          </cell>
          <cell r="H149">
            <v>0.2968</v>
          </cell>
          <cell r="I149">
            <v>133325</v>
          </cell>
          <cell r="J149">
            <v>98927.15</v>
          </cell>
          <cell r="K149">
            <v>0.74</v>
          </cell>
        </row>
        <row r="150">
          <cell r="B150" t="str">
            <v>N/A</v>
          </cell>
          <cell r="C150">
            <v>0</v>
          </cell>
          <cell r="H150">
            <v>1</v>
          </cell>
          <cell r="I150">
            <v>0</v>
          </cell>
          <cell r="J150">
            <v>0</v>
          </cell>
          <cell r="K150">
            <v>0</v>
          </cell>
        </row>
        <row r="151">
          <cell r="B151" t="str">
            <v>N/A</v>
          </cell>
          <cell r="C151">
            <v>0</v>
          </cell>
          <cell r="H151">
            <v>1</v>
          </cell>
          <cell r="I151">
            <v>0</v>
          </cell>
          <cell r="J151">
            <v>0</v>
          </cell>
          <cell r="K151">
            <v>0</v>
          </cell>
        </row>
        <row r="152">
          <cell r="A152" t="str">
            <v>062.42</v>
          </cell>
          <cell r="B152" t="str">
            <v>Ceiling Finish, Type 2</v>
          </cell>
          <cell r="C152">
            <v>6</v>
          </cell>
          <cell r="D152" t="str">
            <v>SF ceiling</v>
          </cell>
          <cell r="E152">
            <v>3</v>
          </cell>
          <cell r="F152" t="str">
            <v>Architectural acoustic tile, sound insul</v>
          </cell>
          <cell r="I152">
            <v>133325</v>
          </cell>
        </row>
        <row r="153">
          <cell r="B153" t="str">
            <v>All Areas</v>
          </cell>
          <cell r="C153">
            <v>1</v>
          </cell>
          <cell r="G153">
            <v>26665</v>
          </cell>
          <cell r="H153">
            <v>0.2</v>
          </cell>
          <cell r="I153">
            <v>133325</v>
          </cell>
          <cell r="J153">
            <v>79995</v>
          </cell>
          <cell r="K153">
            <v>0.6</v>
          </cell>
        </row>
        <row r="154">
          <cell r="B154" t="str">
            <v>N/A</v>
          </cell>
          <cell r="C154">
            <v>0</v>
          </cell>
          <cell r="H154">
            <v>0</v>
          </cell>
          <cell r="I154">
            <v>0</v>
          </cell>
          <cell r="J154">
            <v>0</v>
          </cell>
          <cell r="K154">
            <v>0</v>
          </cell>
        </row>
        <row r="155">
          <cell r="B155" t="str">
            <v>N/A</v>
          </cell>
          <cell r="C155">
            <v>0</v>
          </cell>
          <cell r="H155">
            <v>0</v>
          </cell>
          <cell r="I155">
            <v>0</v>
          </cell>
          <cell r="J155">
            <v>0</v>
          </cell>
          <cell r="K155">
            <v>0</v>
          </cell>
        </row>
        <row r="156">
          <cell r="A156" t="str">
            <v>062.43</v>
          </cell>
          <cell r="B156" t="str">
            <v>Ceiling Finish, Type 3</v>
          </cell>
          <cell r="C156">
            <v>4</v>
          </cell>
          <cell r="D156" t="str">
            <v>SF ceiling</v>
          </cell>
          <cell r="E156">
            <v>4.9</v>
          </cell>
          <cell r="F156" t="str">
            <v>Drywall,painted,2 coats</v>
          </cell>
          <cell r="I156">
            <v>133325</v>
          </cell>
        </row>
        <row r="157">
          <cell r="B157" t="str">
            <v>All Areas</v>
          </cell>
          <cell r="C157">
            <v>1</v>
          </cell>
          <cell r="G157">
            <v>53330</v>
          </cell>
          <cell r="H157">
            <v>0.4</v>
          </cell>
          <cell r="I157">
            <v>133325</v>
          </cell>
          <cell r="J157">
            <v>261317.00000000003</v>
          </cell>
          <cell r="K157">
            <v>1.96</v>
          </cell>
        </row>
        <row r="158">
          <cell r="B158" t="str">
            <v>N/A</v>
          </cell>
          <cell r="C158">
            <v>0</v>
          </cell>
          <cell r="H158">
            <v>0</v>
          </cell>
          <cell r="I158">
            <v>0</v>
          </cell>
          <cell r="J158">
            <v>0</v>
          </cell>
          <cell r="K158">
            <v>0</v>
          </cell>
        </row>
        <row r="159">
          <cell r="B159" t="str">
            <v>N/A</v>
          </cell>
          <cell r="C159">
            <v>0</v>
          </cell>
          <cell r="H159">
            <v>0</v>
          </cell>
          <cell r="I159">
            <v>0</v>
          </cell>
          <cell r="J159">
            <v>0</v>
          </cell>
          <cell r="K159">
            <v>0</v>
          </cell>
        </row>
        <row r="160">
          <cell r="A160" t="str">
            <v>062.44</v>
          </cell>
          <cell r="B160" t="str">
            <v>Ceiling Finish, Type 4</v>
          </cell>
          <cell r="C160">
            <v>2</v>
          </cell>
          <cell r="D160" t="str">
            <v>SF ceiling</v>
          </cell>
          <cell r="E160">
            <v>5.41</v>
          </cell>
          <cell r="F160" t="str">
            <v>Epoxy ceiling finish</v>
          </cell>
          <cell r="I160">
            <v>133325</v>
          </cell>
        </row>
        <row r="161">
          <cell r="B161" t="str">
            <v>All Areas</v>
          </cell>
          <cell r="C161">
            <v>1</v>
          </cell>
          <cell r="G161">
            <v>2666.5</v>
          </cell>
          <cell r="H161">
            <v>0.02</v>
          </cell>
          <cell r="I161">
            <v>133325</v>
          </cell>
          <cell r="J161">
            <v>14425.765000000001</v>
          </cell>
          <cell r="K161">
            <v>0.11</v>
          </cell>
        </row>
        <row r="162">
          <cell r="B162" t="str">
            <v>N/A</v>
          </cell>
          <cell r="C162">
            <v>0</v>
          </cell>
          <cell r="H162">
            <v>0</v>
          </cell>
          <cell r="I162">
            <v>0</v>
          </cell>
          <cell r="J162">
            <v>0</v>
          </cell>
          <cell r="K162">
            <v>0</v>
          </cell>
        </row>
        <row r="163">
          <cell r="B163" t="str">
            <v>N/A</v>
          </cell>
          <cell r="C163">
            <v>0</v>
          </cell>
          <cell r="H163">
            <v>0</v>
          </cell>
          <cell r="I163">
            <v>0</v>
          </cell>
          <cell r="J163">
            <v>0</v>
          </cell>
          <cell r="K163">
            <v>0</v>
          </cell>
        </row>
        <row r="164">
          <cell r="A164" t="str">
            <v>062.45</v>
          </cell>
          <cell r="B164" t="str">
            <v>Ceiling Finish, Type 5</v>
          </cell>
          <cell r="C164">
            <v>6</v>
          </cell>
          <cell r="D164" t="str">
            <v>SF ceiling</v>
          </cell>
          <cell r="E164">
            <v>3</v>
          </cell>
          <cell r="F164" t="str">
            <v>Architectural acoustic tile, sound insul</v>
          </cell>
          <cell r="I164">
            <v>133325</v>
          </cell>
        </row>
        <row r="165">
          <cell r="B165" t="str">
            <v>All Areas</v>
          </cell>
          <cell r="C165">
            <v>1</v>
          </cell>
          <cell r="G165">
            <v>0</v>
          </cell>
          <cell r="H165">
            <v>0</v>
          </cell>
          <cell r="I165">
            <v>133325</v>
          </cell>
          <cell r="J165">
            <v>0</v>
          </cell>
          <cell r="K165">
            <v>0</v>
          </cell>
        </row>
        <row r="166">
          <cell r="B166" t="str">
            <v>N/A</v>
          </cell>
          <cell r="C166">
            <v>0</v>
          </cell>
          <cell r="H166">
            <v>0</v>
          </cell>
          <cell r="I166">
            <v>0</v>
          </cell>
          <cell r="J166">
            <v>0</v>
          </cell>
          <cell r="K166">
            <v>0</v>
          </cell>
        </row>
        <row r="167">
          <cell r="B167" t="str">
            <v>N/A</v>
          </cell>
          <cell r="C167">
            <v>0</v>
          </cell>
          <cell r="H167">
            <v>0</v>
          </cell>
          <cell r="I167">
            <v>0</v>
          </cell>
          <cell r="J167">
            <v>0</v>
          </cell>
          <cell r="K167">
            <v>0</v>
          </cell>
        </row>
        <row r="168">
          <cell r="A168" t="str">
            <v>062.46</v>
          </cell>
          <cell r="B168" t="str">
            <v>Ceiling Finish, Type 6</v>
          </cell>
          <cell r="C168">
            <v>4</v>
          </cell>
          <cell r="D168" t="str">
            <v>SF ceiling</v>
          </cell>
          <cell r="E168">
            <v>15</v>
          </cell>
          <cell r="F168" t="str">
            <v>Metal Panel System, ala Commons</v>
          </cell>
          <cell r="I168">
            <v>133325</v>
          </cell>
        </row>
        <row r="169">
          <cell r="B169" t="str">
            <v>All Areas</v>
          </cell>
          <cell r="C169">
            <v>1</v>
          </cell>
          <cell r="F169">
            <v>11094</v>
          </cell>
          <cell r="G169">
            <v>11092.64</v>
          </cell>
          <cell r="H169">
            <v>0.0832</v>
          </cell>
          <cell r="I169">
            <v>133325</v>
          </cell>
          <cell r="J169">
            <v>166389.59999999998</v>
          </cell>
          <cell r="K169">
            <v>1.25</v>
          </cell>
        </row>
        <row r="170">
          <cell r="B170" t="str">
            <v>N/A</v>
          </cell>
          <cell r="C170">
            <v>0</v>
          </cell>
          <cell r="H170">
            <v>0</v>
          </cell>
          <cell r="I170">
            <v>0</v>
          </cell>
          <cell r="J170">
            <v>0</v>
          </cell>
          <cell r="K170">
            <v>0</v>
          </cell>
        </row>
        <row r="171">
          <cell r="B171" t="str">
            <v>N/A</v>
          </cell>
          <cell r="C171">
            <v>0</v>
          </cell>
          <cell r="H171">
            <v>0</v>
          </cell>
          <cell r="I171">
            <v>0</v>
          </cell>
          <cell r="J171">
            <v>0</v>
          </cell>
          <cell r="K171">
            <v>0</v>
          </cell>
        </row>
        <row r="172">
          <cell r="A172" t="str">
            <v>062.47</v>
          </cell>
          <cell r="B172" t="str">
            <v>Ceiling Finish, Type 7</v>
          </cell>
          <cell r="C172">
            <v>2</v>
          </cell>
          <cell r="D172" t="str">
            <v>SF ceiling</v>
          </cell>
          <cell r="E172">
            <v>5.41</v>
          </cell>
          <cell r="F172" t="str">
            <v>Epoxy ceiling finish</v>
          </cell>
          <cell r="I172">
            <v>133325</v>
          </cell>
        </row>
        <row r="173">
          <cell r="B173" t="str">
            <v>All Areas</v>
          </cell>
          <cell r="C173">
            <v>1</v>
          </cell>
          <cell r="G173">
            <v>0</v>
          </cell>
          <cell r="H173">
            <v>0</v>
          </cell>
          <cell r="I173">
            <v>133325</v>
          </cell>
          <cell r="J173">
            <v>0</v>
          </cell>
          <cell r="K173">
            <v>0</v>
          </cell>
        </row>
        <row r="174">
          <cell r="B174" t="str">
            <v>N/A</v>
          </cell>
          <cell r="C174">
            <v>0</v>
          </cell>
          <cell r="H174">
            <v>0</v>
          </cell>
          <cell r="I174">
            <v>0</v>
          </cell>
          <cell r="J174">
            <v>0</v>
          </cell>
          <cell r="K174">
            <v>0</v>
          </cell>
        </row>
        <row r="175">
          <cell r="B175" t="str">
            <v>N/A</v>
          </cell>
          <cell r="C175">
            <v>0</v>
          </cell>
          <cell r="H175">
            <v>0</v>
          </cell>
          <cell r="I175">
            <v>0</v>
          </cell>
          <cell r="J175">
            <v>0</v>
          </cell>
          <cell r="K175">
            <v>0</v>
          </cell>
        </row>
        <row r="176">
          <cell r="A176" t="str">
            <v>063.00</v>
          </cell>
          <cell r="B176" t="str">
            <v>Specialties</v>
          </cell>
          <cell r="C176">
            <v>2</v>
          </cell>
          <cell r="D176" t="str">
            <v>SF floor</v>
          </cell>
          <cell r="E176">
            <v>1.32</v>
          </cell>
          <cell r="F176" t="str">
            <v>Medium quality specialties</v>
          </cell>
          <cell r="I176">
            <v>133325</v>
          </cell>
          <cell r="J176">
            <v>175989</v>
          </cell>
          <cell r="K176">
            <v>1.32</v>
          </cell>
        </row>
        <row r="177">
          <cell r="A177" t="str">
            <v>063.01</v>
          </cell>
          <cell r="B177" t="str">
            <v>Specialties</v>
          </cell>
          <cell r="D177" t="str">
            <v>SF floor</v>
          </cell>
          <cell r="E177">
            <v>10</v>
          </cell>
          <cell r="F177" t="str">
            <v>Electronic Darkening Shades</v>
          </cell>
          <cell r="G177" t="str">
            <v>See Spec Constr.</v>
          </cell>
          <cell r="I177">
            <v>0</v>
          </cell>
          <cell r="J177">
            <v>0</v>
          </cell>
          <cell r="K177">
            <v>0</v>
          </cell>
        </row>
        <row r="178">
          <cell r="A178" t="str">
            <v>063.02</v>
          </cell>
          <cell r="B178" t="str">
            <v>Specialties</v>
          </cell>
          <cell r="D178" t="str">
            <v>SF floor</v>
          </cell>
          <cell r="E178">
            <v>8</v>
          </cell>
          <cell r="F178" t="str">
            <v>Mecco Shade Premium</v>
          </cell>
          <cell r="I178">
            <v>35473.6</v>
          </cell>
          <cell r="J178">
            <v>283788.8</v>
          </cell>
          <cell r="K178">
            <v>2.13</v>
          </cell>
        </row>
        <row r="179">
          <cell r="A179" t="str">
            <v>063.03</v>
          </cell>
          <cell r="B179" t="str">
            <v>Glass Handrails</v>
          </cell>
          <cell r="D179" t="str">
            <v>LF</v>
          </cell>
          <cell r="E179">
            <v>250</v>
          </cell>
          <cell r="F179" t="str">
            <v>Structural Glass with Tubular Cap</v>
          </cell>
          <cell r="I179">
            <v>460</v>
          </cell>
          <cell r="J179">
            <v>115000</v>
          </cell>
          <cell r="K179">
            <v>0.86</v>
          </cell>
        </row>
        <row r="180">
          <cell r="A180" t="str">
            <v>071.00</v>
          </cell>
          <cell r="B180" t="str">
            <v>Elevators: #1</v>
          </cell>
          <cell r="C180">
            <v>3</v>
          </cell>
          <cell r="D180" t="str">
            <v>Each</v>
          </cell>
          <cell r="E180">
            <v>0</v>
          </cell>
          <cell r="F180" t="str">
            <v>3000lb passenger, 4 stops</v>
          </cell>
          <cell r="G180" t="str">
            <v>Out Per U of M</v>
          </cell>
          <cell r="I180">
            <v>2</v>
          </cell>
          <cell r="J180">
            <v>0</v>
          </cell>
          <cell r="K180">
            <v>0</v>
          </cell>
        </row>
        <row r="181">
          <cell r="A181" t="str">
            <v>071.01</v>
          </cell>
          <cell r="B181" t="str">
            <v>Elevators: #2</v>
          </cell>
          <cell r="C181">
            <v>3</v>
          </cell>
          <cell r="D181" t="str">
            <v>Each</v>
          </cell>
          <cell r="E181">
            <v>0</v>
          </cell>
          <cell r="F181" t="str">
            <v>3000lb passenger, 5 stops</v>
          </cell>
          <cell r="G181" t="str">
            <v>Out Per U of M</v>
          </cell>
          <cell r="I181">
            <v>1</v>
          </cell>
          <cell r="J181">
            <v>0</v>
          </cell>
          <cell r="K181">
            <v>0</v>
          </cell>
        </row>
        <row r="182">
          <cell r="A182" t="str">
            <v>071.02</v>
          </cell>
          <cell r="B182" t="str">
            <v>Elevators: #3</v>
          </cell>
          <cell r="C182">
            <v>3</v>
          </cell>
          <cell r="D182" t="str">
            <v>Each</v>
          </cell>
          <cell r="E182">
            <v>0</v>
          </cell>
          <cell r="F182" t="str">
            <v>5000lb freight, 4 stops</v>
          </cell>
          <cell r="G182" t="str">
            <v>Out Per U of M</v>
          </cell>
          <cell r="I182">
            <v>1</v>
          </cell>
          <cell r="J182">
            <v>0</v>
          </cell>
          <cell r="K182">
            <v>0</v>
          </cell>
        </row>
        <row r="183">
          <cell r="A183" t="str">
            <v>071.02</v>
          </cell>
          <cell r="B183" t="str">
            <v>Elevators: Misc</v>
          </cell>
          <cell r="D183" t="str">
            <v>Each</v>
          </cell>
          <cell r="E183">
            <v>100000</v>
          </cell>
          <cell r="F183" t="str">
            <v>Allowance for Misc Changes</v>
          </cell>
          <cell r="I183">
            <v>1</v>
          </cell>
          <cell r="J183">
            <v>100000</v>
          </cell>
          <cell r="K183">
            <v>0.75</v>
          </cell>
        </row>
        <row r="184">
          <cell r="A184" t="str">
            <v>072.00</v>
          </cell>
          <cell r="B184" t="str">
            <v>Other Conveying: #1</v>
          </cell>
          <cell r="D184" t="str">
            <v>Each</v>
          </cell>
          <cell r="I184">
            <v>0</v>
          </cell>
          <cell r="J184">
            <v>0</v>
          </cell>
          <cell r="K184">
            <v>0</v>
          </cell>
        </row>
        <row r="185">
          <cell r="A185" t="str">
            <v>072.01</v>
          </cell>
          <cell r="B185" t="str">
            <v>Other Conveying: #2</v>
          </cell>
          <cell r="D185" t="str">
            <v>Each</v>
          </cell>
          <cell r="I185">
            <v>0</v>
          </cell>
          <cell r="J185">
            <v>0</v>
          </cell>
          <cell r="K185">
            <v>0</v>
          </cell>
        </row>
        <row r="186">
          <cell r="A186" t="str">
            <v>081.00</v>
          </cell>
          <cell r="B186" t="str">
            <v>Plumbing</v>
          </cell>
        </row>
        <row r="187">
          <cell r="A187" t="str">
            <v>081.01</v>
          </cell>
          <cell r="B187" t="str">
            <v>Lab</v>
          </cell>
          <cell r="C187">
            <v>1</v>
          </cell>
          <cell r="D187" t="str">
            <v>GSF</v>
          </cell>
          <cell r="E187">
            <v>4.5</v>
          </cell>
          <cell r="I187">
            <v>133325</v>
          </cell>
          <cell r="J187">
            <v>605962.125</v>
          </cell>
          <cell r="K187">
            <v>4.55</v>
          </cell>
        </row>
        <row r="188">
          <cell r="A188" t="str">
            <v>081.02</v>
          </cell>
          <cell r="B188" t="str">
            <v>Class</v>
          </cell>
          <cell r="C188">
            <v>0</v>
          </cell>
          <cell r="D188" t="str">
            <v>GSF</v>
          </cell>
          <cell r="E188">
            <v>4.5</v>
          </cell>
          <cell r="I188">
            <v>0</v>
          </cell>
          <cell r="J188">
            <v>0</v>
          </cell>
          <cell r="K188">
            <v>0</v>
          </cell>
        </row>
        <row r="189">
          <cell r="A189" t="str">
            <v>081.03</v>
          </cell>
          <cell r="B189" t="str">
            <v>Other</v>
          </cell>
          <cell r="C189">
            <v>0</v>
          </cell>
          <cell r="D189" t="str">
            <v>GSF</v>
          </cell>
          <cell r="E189">
            <v>4.5</v>
          </cell>
          <cell r="I189">
            <v>0</v>
          </cell>
          <cell r="J189">
            <v>0</v>
          </cell>
          <cell r="K189">
            <v>0</v>
          </cell>
        </row>
        <row r="190">
          <cell r="A190" t="str">
            <v>082.00</v>
          </cell>
          <cell r="B190" t="str">
            <v>HVAC, Type 1</v>
          </cell>
          <cell r="C190">
            <v>17</v>
          </cell>
          <cell r="D190" t="str">
            <v>SF floor</v>
          </cell>
          <cell r="E190">
            <v>35</v>
          </cell>
          <cell r="F190" t="str">
            <v>All systems</v>
          </cell>
        </row>
        <row r="191">
          <cell r="A191" t="str">
            <v>082.01</v>
          </cell>
          <cell r="B191" t="str">
            <v>Lab</v>
          </cell>
          <cell r="C191">
            <v>1</v>
          </cell>
          <cell r="D191" t="str">
            <v>GSF</v>
          </cell>
          <cell r="E191">
            <v>35</v>
          </cell>
          <cell r="I191">
            <v>133325</v>
          </cell>
          <cell r="J191">
            <v>4713038.75</v>
          </cell>
          <cell r="K191">
            <v>35.35</v>
          </cell>
        </row>
        <row r="192">
          <cell r="A192" t="str">
            <v>082.02</v>
          </cell>
          <cell r="B192" t="str">
            <v>Class</v>
          </cell>
          <cell r="C192">
            <v>0</v>
          </cell>
          <cell r="D192" t="str">
            <v>GSF</v>
          </cell>
          <cell r="E192">
            <v>35</v>
          </cell>
          <cell r="I192">
            <v>0</v>
          </cell>
          <cell r="J192">
            <v>0</v>
          </cell>
          <cell r="K192">
            <v>0</v>
          </cell>
        </row>
        <row r="193">
          <cell r="A193" t="str">
            <v>082.03</v>
          </cell>
          <cell r="B193" t="str">
            <v>Other Labs</v>
          </cell>
          <cell r="C193">
            <v>0</v>
          </cell>
          <cell r="D193" t="str">
            <v>GSF</v>
          </cell>
          <cell r="E193">
            <v>35</v>
          </cell>
          <cell r="I193">
            <v>0</v>
          </cell>
          <cell r="J193">
            <v>0</v>
          </cell>
          <cell r="K193">
            <v>0</v>
          </cell>
        </row>
        <row r="194">
          <cell r="A194" t="str">
            <v>083.00</v>
          </cell>
          <cell r="B194" t="str">
            <v>Fire Protection</v>
          </cell>
          <cell r="C194">
            <v>3</v>
          </cell>
          <cell r="D194" t="str">
            <v>SF floor</v>
          </cell>
          <cell r="F194" t="str">
            <v>Wet sprinkler, ordinary hazard + 4" wet standpipe, Cabinet assy</v>
          </cell>
        </row>
        <row r="195">
          <cell r="A195" t="str">
            <v>083.01</v>
          </cell>
          <cell r="B195" t="str">
            <v>Lab</v>
          </cell>
          <cell r="C195">
            <v>1</v>
          </cell>
          <cell r="D195" t="str">
            <v>GSF</v>
          </cell>
          <cell r="E195">
            <v>3</v>
          </cell>
          <cell r="I195">
            <v>133325</v>
          </cell>
          <cell r="J195">
            <v>403974.75</v>
          </cell>
          <cell r="K195">
            <v>3.03</v>
          </cell>
        </row>
        <row r="196">
          <cell r="A196" t="str">
            <v>083.02</v>
          </cell>
          <cell r="B196" t="str">
            <v>Class</v>
          </cell>
          <cell r="C196">
            <v>0</v>
          </cell>
          <cell r="D196" t="str">
            <v>GSF</v>
          </cell>
          <cell r="E196">
            <v>3</v>
          </cell>
          <cell r="I196">
            <v>0</v>
          </cell>
          <cell r="J196">
            <v>0</v>
          </cell>
          <cell r="K196">
            <v>0</v>
          </cell>
        </row>
        <row r="197">
          <cell r="A197" t="str">
            <v>083.03</v>
          </cell>
          <cell r="B197" t="str">
            <v>Other</v>
          </cell>
          <cell r="C197">
            <v>0</v>
          </cell>
          <cell r="D197" t="str">
            <v>GSF</v>
          </cell>
          <cell r="E197">
            <v>3</v>
          </cell>
          <cell r="I197">
            <v>0</v>
          </cell>
          <cell r="J197">
            <v>0</v>
          </cell>
          <cell r="K197">
            <v>0</v>
          </cell>
        </row>
        <row r="198">
          <cell r="A198" t="str">
            <v>084.00</v>
          </cell>
          <cell r="B198" t="str">
            <v>Special Mechanical</v>
          </cell>
          <cell r="C198">
            <v>1</v>
          </cell>
          <cell r="D198" t="str">
            <v>SF floor</v>
          </cell>
          <cell r="E198">
            <v>0</v>
          </cell>
          <cell r="F198" t="str">
            <v>Included above</v>
          </cell>
        </row>
        <row r="199">
          <cell r="A199" t="str">
            <v>084.01</v>
          </cell>
          <cell r="B199" t="str">
            <v>Lab</v>
          </cell>
          <cell r="C199">
            <v>1</v>
          </cell>
          <cell r="D199" t="str">
            <v>GSF</v>
          </cell>
          <cell r="E199">
            <v>0</v>
          </cell>
          <cell r="I199">
            <v>133325</v>
          </cell>
          <cell r="J199">
            <v>0</v>
          </cell>
          <cell r="K199">
            <v>0</v>
          </cell>
        </row>
        <row r="200">
          <cell r="A200" t="str">
            <v>084.02</v>
          </cell>
          <cell r="B200" t="str">
            <v>Class</v>
          </cell>
          <cell r="C200">
            <v>0</v>
          </cell>
          <cell r="D200" t="str">
            <v>GSF</v>
          </cell>
          <cell r="E200">
            <v>0</v>
          </cell>
          <cell r="I200">
            <v>0</v>
          </cell>
          <cell r="J200">
            <v>0</v>
          </cell>
          <cell r="K200">
            <v>0</v>
          </cell>
        </row>
        <row r="201">
          <cell r="A201" t="str">
            <v>084.03</v>
          </cell>
          <cell r="B201" t="str">
            <v>Other</v>
          </cell>
          <cell r="C201">
            <v>0</v>
          </cell>
          <cell r="D201" t="str">
            <v>GSF</v>
          </cell>
          <cell r="E201">
            <v>0</v>
          </cell>
          <cell r="I201">
            <v>0</v>
          </cell>
          <cell r="J201">
            <v>0</v>
          </cell>
          <cell r="K201">
            <v>0</v>
          </cell>
        </row>
        <row r="202">
          <cell r="A202" t="str">
            <v>091.00</v>
          </cell>
          <cell r="B202" t="str">
            <v>Service &amp; Distribution</v>
          </cell>
          <cell r="C202">
            <v>2</v>
          </cell>
          <cell r="D202" t="str">
            <v>SF floor</v>
          </cell>
          <cell r="K202">
            <v>0</v>
          </cell>
        </row>
        <row r="203">
          <cell r="A203" t="str">
            <v>091.01</v>
          </cell>
          <cell r="B203" t="str">
            <v>Lab</v>
          </cell>
          <cell r="C203">
            <v>1</v>
          </cell>
          <cell r="D203" t="str">
            <v>GSF</v>
          </cell>
          <cell r="E203">
            <v>6.004050632911394</v>
          </cell>
          <cell r="I203">
            <v>133325</v>
          </cell>
          <cell r="J203">
            <v>808494.9511392408</v>
          </cell>
          <cell r="K203">
            <v>6.06</v>
          </cell>
        </row>
        <row r="204">
          <cell r="A204" t="str">
            <v>091.02</v>
          </cell>
          <cell r="B204" t="str">
            <v>Class</v>
          </cell>
          <cell r="C204">
            <v>0</v>
          </cell>
          <cell r="D204" t="str">
            <v>GSF</v>
          </cell>
          <cell r="E204">
            <v>6.004050632911394</v>
          </cell>
          <cell r="I204">
            <v>0</v>
          </cell>
          <cell r="J204">
            <v>0</v>
          </cell>
          <cell r="K204">
            <v>0</v>
          </cell>
        </row>
        <row r="205">
          <cell r="A205" t="str">
            <v>091.03</v>
          </cell>
          <cell r="B205" t="str">
            <v>Other</v>
          </cell>
          <cell r="C205">
            <v>0</v>
          </cell>
          <cell r="D205" t="str">
            <v>GSF</v>
          </cell>
          <cell r="E205">
            <v>6.004050632911394</v>
          </cell>
          <cell r="I205">
            <v>0</v>
          </cell>
          <cell r="J205">
            <v>0</v>
          </cell>
          <cell r="K205">
            <v>0</v>
          </cell>
        </row>
        <row r="206">
          <cell r="A206" t="str">
            <v>092.00</v>
          </cell>
          <cell r="B206" t="str">
            <v>Lighting &amp; Power</v>
          </cell>
          <cell r="C206">
            <v>2</v>
          </cell>
          <cell r="D206" t="str">
            <v>SF floor</v>
          </cell>
          <cell r="K206">
            <v>0</v>
          </cell>
        </row>
        <row r="207">
          <cell r="A207" t="str">
            <v>092.01</v>
          </cell>
          <cell r="B207" t="str">
            <v>Lab</v>
          </cell>
          <cell r="C207">
            <v>1</v>
          </cell>
          <cell r="D207" t="str">
            <v>GSF</v>
          </cell>
          <cell r="E207">
            <v>10</v>
          </cell>
          <cell r="I207">
            <v>133325</v>
          </cell>
          <cell r="J207">
            <v>1346582.5</v>
          </cell>
          <cell r="K207">
            <v>10.1</v>
          </cell>
        </row>
        <row r="208">
          <cell r="A208" t="str">
            <v>092.02</v>
          </cell>
          <cell r="B208" t="str">
            <v>Class</v>
          </cell>
          <cell r="C208">
            <v>0</v>
          </cell>
          <cell r="D208" t="str">
            <v>GSF</v>
          </cell>
          <cell r="E208">
            <v>12</v>
          </cell>
          <cell r="I208">
            <v>0</v>
          </cell>
          <cell r="J208">
            <v>0</v>
          </cell>
          <cell r="K208">
            <v>0</v>
          </cell>
        </row>
        <row r="209">
          <cell r="A209" t="str">
            <v>092.03</v>
          </cell>
          <cell r="B209" t="str">
            <v>Other</v>
          </cell>
          <cell r="C209">
            <v>0</v>
          </cell>
          <cell r="D209" t="str">
            <v>GSF</v>
          </cell>
          <cell r="E209">
            <v>12</v>
          </cell>
          <cell r="I209">
            <v>0</v>
          </cell>
          <cell r="J209">
            <v>0</v>
          </cell>
          <cell r="K209">
            <v>0</v>
          </cell>
        </row>
        <row r="210">
          <cell r="A210" t="str">
            <v>093.00</v>
          </cell>
          <cell r="B210" t="str">
            <v>Special Systems</v>
          </cell>
          <cell r="C210">
            <v>2</v>
          </cell>
          <cell r="D210" t="str">
            <v>SF floor</v>
          </cell>
        </row>
        <row r="211">
          <cell r="A211" t="str">
            <v>093.01</v>
          </cell>
          <cell r="B211" t="str">
            <v>Lab</v>
          </cell>
          <cell r="C211">
            <v>1</v>
          </cell>
          <cell r="D211" t="str">
            <v>GSF</v>
          </cell>
          <cell r="E211">
            <v>4</v>
          </cell>
          <cell r="I211">
            <v>133325</v>
          </cell>
          <cell r="J211">
            <v>538633</v>
          </cell>
          <cell r="K211">
            <v>4.04</v>
          </cell>
        </row>
        <row r="212">
          <cell r="A212" t="str">
            <v>093.02</v>
          </cell>
          <cell r="B212" t="str">
            <v>Class</v>
          </cell>
          <cell r="C212">
            <v>0</v>
          </cell>
          <cell r="D212" t="str">
            <v>GSF</v>
          </cell>
          <cell r="E212">
            <v>4</v>
          </cell>
          <cell r="I212">
            <v>0</v>
          </cell>
          <cell r="J212">
            <v>0</v>
          </cell>
          <cell r="K212">
            <v>0</v>
          </cell>
        </row>
        <row r="213">
          <cell r="A213" t="str">
            <v>093.03</v>
          </cell>
          <cell r="B213" t="str">
            <v>Other</v>
          </cell>
          <cell r="C213">
            <v>0</v>
          </cell>
          <cell r="D213" t="str">
            <v>GSF</v>
          </cell>
          <cell r="E213">
            <v>4</v>
          </cell>
          <cell r="I213">
            <v>0</v>
          </cell>
          <cell r="J213">
            <v>0</v>
          </cell>
          <cell r="K213">
            <v>0</v>
          </cell>
        </row>
        <row r="214">
          <cell r="A214" t="str">
            <v>093.20</v>
          </cell>
          <cell r="B214" t="str">
            <v>Telephone System</v>
          </cell>
          <cell r="C214">
            <v>1</v>
          </cell>
          <cell r="D214" t="str">
            <v>SF floor</v>
          </cell>
          <cell r="E214">
            <v>6.337896118507406</v>
          </cell>
          <cell r="F214" t="str">
            <v>2,000 Drops @ $375+ 8 Rms @$10,000 + 1 Rm @ $15,000</v>
          </cell>
          <cell r="I214">
            <v>133325</v>
          </cell>
          <cell r="J214">
            <v>845000</v>
          </cell>
          <cell r="K214">
            <v>6.34</v>
          </cell>
        </row>
        <row r="215">
          <cell r="A215" t="str">
            <v>093.21</v>
          </cell>
          <cell r="B215" t="str">
            <v>Telecom: Remote</v>
          </cell>
          <cell r="D215" t="str">
            <v>LS</v>
          </cell>
          <cell r="E215">
            <v>15000</v>
          </cell>
          <cell r="F215" t="str">
            <v>Cost to relocate Telecom Room + Connection</v>
          </cell>
          <cell r="I215">
            <v>1</v>
          </cell>
          <cell r="J215">
            <v>15000</v>
          </cell>
          <cell r="K215">
            <v>0.11</v>
          </cell>
        </row>
        <row r="216">
          <cell r="A216" t="str">
            <v>093.40</v>
          </cell>
          <cell r="B216" t="str">
            <v>FA, PA, Security</v>
          </cell>
          <cell r="C216">
            <v>1</v>
          </cell>
          <cell r="D216" t="str">
            <v>SF floor</v>
          </cell>
          <cell r="E216" t="str">
            <v>^^^^</v>
          </cell>
          <cell r="K216">
            <v>0</v>
          </cell>
        </row>
        <row r="217">
          <cell r="A217" t="str">
            <v>093.50</v>
          </cell>
          <cell r="B217" t="str">
            <v>Emergency Power</v>
          </cell>
          <cell r="C217">
            <v>1</v>
          </cell>
          <cell r="D217" t="str">
            <v>LS</v>
          </cell>
          <cell r="E217">
            <v>300000</v>
          </cell>
          <cell r="I217">
            <v>1</v>
          </cell>
          <cell r="J217">
            <v>300000</v>
          </cell>
          <cell r="K217">
            <v>2.25</v>
          </cell>
        </row>
        <row r="218">
          <cell r="A218" t="str">
            <v>093.60</v>
          </cell>
          <cell r="B218" t="str">
            <v>UPS: 50KVA</v>
          </cell>
          <cell r="C218">
            <v>1</v>
          </cell>
          <cell r="D218" t="str">
            <v>SF floor</v>
          </cell>
          <cell r="E218" t="str">
            <v>^^^^</v>
          </cell>
          <cell r="K218">
            <v>0</v>
          </cell>
        </row>
        <row r="219">
          <cell r="A219" t="str">
            <v>093.70</v>
          </cell>
          <cell r="B219" t="str">
            <v>Lightning &amp; grounding</v>
          </cell>
          <cell r="E219" t="str">
            <v>^^^^</v>
          </cell>
          <cell r="K219">
            <v>0</v>
          </cell>
        </row>
        <row r="220">
          <cell r="A220" t="str">
            <v>111.00</v>
          </cell>
          <cell r="B220" t="str">
            <v>Fix/Movable Equipment</v>
          </cell>
          <cell r="F220" t="str">
            <v>Vivariuum Eq: See "Animal Holding"</v>
          </cell>
          <cell r="J220">
            <v>0</v>
          </cell>
        </row>
        <row r="221">
          <cell r="A221" t="str">
            <v>112.00</v>
          </cell>
          <cell r="B221" t="str">
            <v>Furnishings</v>
          </cell>
          <cell r="C221">
            <v>2</v>
          </cell>
          <cell r="D221" t="str">
            <v>SF floor</v>
          </cell>
          <cell r="E221">
            <v>0.5</v>
          </cell>
          <cell r="F221" t="str">
            <v>Average attached furnishings(window treatment,etc)</v>
          </cell>
          <cell r="I221">
            <v>133325</v>
          </cell>
          <cell r="J221">
            <v>66662.5</v>
          </cell>
          <cell r="K221">
            <v>0.5</v>
          </cell>
        </row>
        <row r="222">
          <cell r="A222" t="str">
            <v>113.00</v>
          </cell>
          <cell r="B222" t="str">
            <v>Special Construction</v>
          </cell>
          <cell r="C222">
            <v>1</v>
          </cell>
          <cell r="D222" t="str">
            <v>SF special</v>
          </cell>
          <cell r="E222">
            <v>0</v>
          </cell>
          <cell r="F222" t="str">
            <v>Moderate quality special purpose space</v>
          </cell>
          <cell r="I222">
            <v>0</v>
          </cell>
          <cell r="J222">
            <v>0</v>
          </cell>
          <cell r="K222">
            <v>0</v>
          </cell>
        </row>
        <row r="223">
          <cell r="A223" t="str">
            <v>113.01</v>
          </cell>
          <cell r="B223" t="str">
            <v>Special Construction</v>
          </cell>
          <cell r="D223" t="str">
            <v>SF special</v>
          </cell>
          <cell r="E223">
            <v>16.47636815920398</v>
          </cell>
          <cell r="F223" t="str">
            <v>UROP; WISE; LSVSP</v>
          </cell>
          <cell r="I223">
            <v>8040</v>
          </cell>
          <cell r="J223">
            <v>132470</v>
          </cell>
          <cell r="K223">
            <v>0.99</v>
          </cell>
        </row>
        <row r="224">
          <cell r="A224" t="str">
            <v>113.02</v>
          </cell>
          <cell r="B224" t="str">
            <v>Special Construction</v>
          </cell>
          <cell r="D224" t="str">
            <v>SF special</v>
          </cell>
          <cell r="E224">
            <v>123.9125</v>
          </cell>
          <cell r="F224" t="str">
            <v>Theater Classroom: 100 Seats (Plate 40)</v>
          </cell>
          <cell r="I224">
            <v>4500</v>
          </cell>
          <cell r="J224">
            <v>557606.25</v>
          </cell>
          <cell r="K224">
            <v>4.18</v>
          </cell>
        </row>
        <row r="225">
          <cell r="A225" t="str">
            <v>113.03</v>
          </cell>
          <cell r="B225" t="str">
            <v>Special Construction</v>
          </cell>
          <cell r="D225" t="str">
            <v>SF special</v>
          </cell>
          <cell r="E225">
            <v>88.425</v>
          </cell>
          <cell r="F225" t="str">
            <v>Presentation &amp; Prep: Wet Lab (Plate 49)</v>
          </cell>
          <cell r="I225">
            <v>300</v>
          </cell>
          <cell r="J225">
            <v>26527.5</v>
          </cell>
          <cell r="K225">
            <v>0.2</v>
          </cell>
        </row>
        <row r="226">
          <cell r="A226" t="str">
            <v>113.04</v>
          </cell>
          <cell r="B226" t="str">
            <v>Special Construction</v>
          </cell>
          <cell r="D226" t="str">
            <v>SF special</v>
          </cell>
          <cell r="E226">
            <v>33</v>
          </cell>
          <cell r="F226" t="str">
            <v>Event</v>
          </cell>
          <cell r="I226">
            <v>220</v>
          </cell>
          <cell r="J226">
            <v>7260</v>
          </cell>
          <cell r="K226">
            <v>0.05</v>
          </cell>
        </row>
        <row r="227">
          <cell r="A227" t="str">
            <v>113.05</v>
          </cell>
          <cell r="B227" t="str">
            <v>Special Construction</v>
          </cell>
          <cell r="D227" t="str">
            <v>SF special</v>
          </cell>
          <cell r="E227">
            <v>76.245</v>
          </cell>
          <cell r="F227" t="str">
            <v>Lecture Hall: Didactic (Plate 37)</v>
          </cell>
          <cell r="I227">
            <v>4000</v>
          </cell>
          <cell r="J227">
            <v>304980</v>
          </cell>
          <cell r="K227">
            <v>2.29</v>
          </cell>
        </row>
        <row r="228">
          <cell r="A228" t="str">
            <v>113.06</v>
          </cell>
          <cell r="B228" t="str">
            <v>Special Construction</v>
          </cell>
          <cell r="D228" t="str">
            <v>SF special</v>
          </cell>
          <cell r="E228">
            <v>45.7521</v>
          </cell>
          <cell r="F228" t="str">
            <v>Computer Simulation: (Plate 44)</v>
          </cell>
          <cell r="I228">
            <v>3200</v>
          </cell>
          <cell r="J228">
            <v>146406.72</v>
          </cell>
          <cell r="K228">
            <v>1.1</v>
          </cell>
        </row>
        <row r="229">
          <cell r="A229" t="str">
            <v>113.07</v>
          </cell>
          <cell r="B229" t="str">
            <v>Special Construction</v>
          </cell>
          <cell r="D229" t="str">
            <v>SF special</v>
          </cell>
          <cell r="E229">
            <v>68.23333333333333</v>
          </cell>
          <cell r="F229" t="str">
            <v>Resource Center (Plate 8)</v>
          </cell>
          <cell r="I229">
            <v>2300</v>
          </cell>
          <cell r="J229">
            <v>156936.66666666666</v>
          </cell>
          <cell r="K229">
            <v>1.18</v>
          </cell>
        </row>
        <row r="230">
          <cell r="A230" t="str">
            <v>113.08</v>
          </cell>
          <cell r="B230" t="str">
            <v>Special Construction</v>
          </cell>
          <cell r="D230" t="str">
            <v>SF special</v>
          </cell>
          <cell r="E230">
            <v>89.140625</v>
          </cell>
          <cell r="F230" t="str">
            <v>Biology &amp; Chemistry (Plate 16)</v>
          </cell>
          <cell r="I230">
            <v>3300</v>
          </cell>
          <cell r="J230">
            <v>294164.0625</v>
          </cell>
          <cell r="K230">
            <v>2.21</v>
          </cell>
        </row>
        <row r="231">
          <cell r="A231" t="str">
            <v>113.09</v>
          </cell>
          <cell r="B231" t="str">
            <v>Special Construction</v>
          </cell>
          <cell r="D231" t="str">
            <v>SF special</v>
          </cell>
          <cell r="E231">
            <v>88.140625</v>
          </cell>
          <cell r="F231" t="str">
            <v>Studio Labs: Wet (Plate 16)</v>
          </cell>
          <cell r="I231">
            <v>2800</v>
          </cell>
          <cell r="J231">
            <v>246793.75</v>
          </cell>
          <cell r="K231">
            <v>1.85</v>
          </cell>
        </row>
        <row r="232">
          <cell r="A232" t="str">
            <v>113.10</v>
          </cell>
          <cell r="B232" t="str">
            <v>Special Construction</v>
          </cell>
          <cell r="D232" t="str">
            <v>SF special</v>
          </cell>
          <cell r="E232">
            <v>61.096875</v>
          </cell>
          <cell r="F232" t="str">
            <v>Studio Labs: Dry (Plate 19)</v>
          </cell>
          <cell r="I232">
            <v>2800</v>
          </cell>
          <cell r="J232">
            <v>171071.25</v>
          </cell>
          <cell r="K232">
            <v>1.28</v>
          </cell>
        </row>
        <row r="233">
          <cell r="A233" t="str">
            <v>113.11</v>
          </cell>
          <cell r="B233" t="str">
            <v>Special Construction</v>
          </cell>
          <cell r="D233" t="str">
            <v>SF special</v>
          </cell>
          <cell r="E233">
            <v>156.75</v>
          </cell>
          <cell r="F233" t="str">
            <v>Lab Support Space: Typical (Plate 35; #5)</v>
          </cell>
          <cell r="I233">
            <v>2000</v>
          </cell>
          <cell r="J233">
            <v>313500</v>
          </cell>
          <cell r="K233">
            <v>2.35</v>
          </cell>
        </row>
        <row r="234">
          <cell r="A234" t="str">
            <v>113.12</v>
          </cell>
          <cell r="B234" t="str">
            <v>Special Construction</v>
          </cell>
          <cell r="D234" t="str">
            <v>SF special</v>
          </cell>
          <cell r="E234">
            <v>78.375</v>
          </cell>
          <cell r="F234" t="str">
            <v>Lab Support Space: Typical (Plate 35; #3)</v>
          </cell>
          <cell r="I234">
            <v>1200</v>
          </cell>
          <cell r="J234">
            <v>94050</v>
          </cell>
          <cell r="K234">
            <v>0.71</v>
          </cell>
        </row>
        <row r="235">
          <cell r="A235" t="str">
            <v>113.13</v>
          </cell>
          <cell r="B235" t="str">
            <v>Special Construction</v>
          </cell>
          <cell r="D235" t="str">
            <v>SF special</v>
          </cell>
          <cell r="E235">
            <v>124.13714285714286</v>
          </cell>
          <cell r="F235" t="str">
            <v>Bio-Prep Area (Plate 34)</v>
          </cell>
          <cell r="I235">
            <v>1940</v>
          </cell>
          <cell r="J235">
            <v>240826.05714285714</v>
          </cell>
          <cell r="K235">
            <v>1.81</v>
          </cell>
        </row>
        <row r="236">
          <cell r="A236" t="str">
            <v>113.14</v>
          </cell>
          <cell r="B236" t="str">
            <v>Special Construction</v>
          </cell>
          <cell r="D236" t="str">
            <v>SF special</v>
          </cell>
          <cell r="E236">
            <v>115.12857142857143</v>
          </cell>
          <cell r="F236" t="str">
            <v>Chem-Prep Area (Plate 34)</v>
          </cell>
          <cell r="I236">
            <v>700</v>
          </cell>
          <cell r="J236">
            <v>80590</v>
          </cell>
          <cell r="K236">
            <v>0.6</v>
          </cell>
        </row>
        <row r="237">
          <cell r="A237" t="str">
            <v>113.15</v>
          </cell>
          <cell r="B237" t="str">
            <v>Special Construction</v>
          </cell>
          <cell r="D237" t="str">
            <v>SF special</v>
          </cell>
          <cell r="E237">
            <v>45</v>
          </cell>
          <cell r="F237" t="str">
            <v>Lounges</v>
          </cell>
          <cell r="I237">
            <v>1260</v>
          </cell>
          <cell r="J237">
            <v>56700</v>
          </cell>
          <cell r="K237">
            <v>0.43</v>
          </cell>
        </row>
        <row r="238">
          <cell r="A238" t="str">
            <v>113.16</v>
          </cell>
          <cell r="B238" t="str">
            <v>Special Construction</v>
          </cell>
          <cell r="D238" t="str">
            <v>SF special</v>
          </cell>
          <cell r="E238">
            <v>130.15</v>
          </cell>
          <cell r="F238" t="str">
            <v>Plant Moleclar Bio. Labs (Plate 9)</v>
          </cell>
          <cell r="I238">
            <v>1200</v>
          </cell>
          <cell r="J238">
            <v>156180</v>
          </cell>
          <cell r="K238">
            <v>1.17</v>
          </cell>
        </row>
        <row r="239">
          <cell r="A239" t="str">
            <v>113.17</v>
          </cell>
          <cell r="B239" t="str">
            <v>Special Construction</v>
          </cell>
          <cell r="D239" t="str">
            <v>SF special</v>
          </cell>
          <cell r="E239">
            <v>130.15</v>
          </cell>
          <cell r="F239" t="str">
            <v>Animal Physiology &amp; Endo. Labs (Plate 9)</v>
          </cell>
          <cell r="I239">
            <v>1800</v>
          </cell>
          <cell r="J239">
            <v>234270</v>
          </cell>
          <cell r="K239">
            <v>1.76</v>
          </cell>
        </row>
        <row r="240">
          <cell r="A240" t="str">
            <v>113.18</v>
          </cell>
          <cell r="B240" t="str">
            <v>Special Construction</v>
          </cell>
          <cell r="D240" t="str">
            <v>SF special</v>
          </cell>
          <cell r="E240">
            <v>144.76111111111112</v>
          </cell>
          <cell r="F240" t="str">
            <v>Greenhouse</v>
          </cell>
          <cell r="I240">
            <v>1800</v>
          </cell>
          <cell r="J240">
            <v>260570.00000000003</v>
          </cell>
          <cell r="K240">
            <v>1.95</v>
          </cell>
        </row>
        <row r="241">
          <cell r="A241" t="str">
            <v>113.19</v>
          </cell>
          <cell r="B241" t="str">
            <v>Special Construction</v>
          </cell>
          <cell r="D241" t="str">
            <v>SF special</v>
          </cell>
          <cell r="E241">
            <v>14.416666666666666</v>
          </cell>
          <cell r="F241" t="str">
            <v>Neurosciences Offices</v>
          </cell>
          <cell r="I241">
            <v>3000</v>
          </cell>
          <cell r="J241">
            <v>43250</v>
          </cell>
          <cell r="K241">
            <v>0.32</v>
          </cell>
        </row>
        <row r="242">
          <cell r="A242" t="str">
            <v>113.20</v>
          </cell>
          <cell r="B242" t="str">
            <v>Special Construction</v>
          </cell>
          <cell r="D242" t="str">
            <v>SF special</v>
          </cell>
          <cell r="E242">
            <v>151.7528735632184</v>
          </cell>
          <cell r="F242" t="str">
            <v>Animal Holding (Plate 12)</v>
          </cell>
          <cell r="I242">
            <v>1856</v>
          </cell>
          <cell r="J242">
            <v>281653.3333333334</v>
          </cell>
          <cell r="K242">
            <v>2.11</v>
          </cell>
        </row>
        <row r="243">
          <cell r="A243" t="str">
            <v>113.21</v>
          </cell>
          <cell r="B243" t="str">
            <v>Special Construction</v>
          </cell>
          <cell r="D243" t="str">
            <v>SF special</v>
          </cell>
          <cell r="E243">
            <v>69.72321428571429</v>
          </cell>
          <cell r="F243" t="str">
            <v>Neurosciences Wet Labs (Plate 9)</v>
          </cell>
          <cell r="I243">
            <v>0</v>
          </cell>
          <cell r="J243">
            <v>0</v>
          </cell>
          <cell r="K243">
            <v>0</v>
          </cell>
        </row>
        <row r="244">
          <cell r="A244" t="str">
            <v>113.22</v>
          </cell>
          <cell r="B244" t="str">
            <v>Special Construction</v>
          </cell>
          <cell r="D244" t="str">
            <v>SF special</v>
          </cell>
          <cell r="E244">
            <v>97.6125</v>
          </cell>
          <cell r="F244" t="str">
            <v>Neurosciences Flex Labs (Plate 10)</v>
          </cell>
          <cell r="I244">
            <v>1300</v>
          </cell>
          <cell r="J244">
            <v>126896.25</v>
          </cell>
          <cell r="K244">
            <v>0.95</v>
          </cell>
        </row>
        <row r="245">
          <cell r="A245" t="str">
            <v>113.23</v>
          </cell>
          <cell r="B245" t="str">
            <v>Special Construction</v>
          </cell>
          <cell r="D245" t="str">
            <v>SF special</v>
          </cell>
          <cell r="E245">
            <v>130.15</v>
          </cell>
          <cell r="F245" t="str">
            <v>Neurosciences Prep (Plate 11)</v>
          </cell>
          <cell r="I245">
            <v>600</v>
          </cell>
          <cell r="J245">
            <v>78090</v>
          </cell>
          <cell r="K245">
            <v>0.59</v>
          </cell>
        </row>
        <row r="246">
          <cell r="A246" t="str">
            <v>113.24</v>
          </cell>
          <cell r="B246" t="str">
            <v>Special Construction</v>
          </cell>
          <cell r="D246" t="str">
            <v>SF special</v>
          </cell>
          <cell r="E246">
            <v>69.72321428571429</v>
          </cell>
          <cell r="F246" t="str">
            <v>Neurosciences Wet Labs (Plate 9)</v>
          </cell>
          <cell r="I246">
            <v>5880</v>
          </cell>
          <cell r="J246">
            <v>409972.50000000006</v>
          </cell>
          <cell r="K246">
            <v>3.07</v>
          </cell>
        </row>
        <row r="247">
          <cell r="A247" t="str">
            <v>113.25</v>
          </cell>
          <cell r="B247" t="str">
            <v>Special Construction</v>
          </cell>
          <cell r="D247" t="str">
            <v>LS special</v>
          </cell>
          <cell r="E247">
            <v>100000</v>
          </cell>
          <cell r="F247" t="str">
            <v>Lobby Lighting &amp; Fitout Allowance</v>
          </cell>
          <cell r="I247">
            <v>1</v>
          </cell>
          <cell r="J247">
            <v>100000</v>
          </cell>
          <cell r="K247">
            <v>0.75</v>
          </cell>
        </row>
        <row r="248">
          <cell r="A248" t="str">
            <v>113.26</v>
          </cell>
          <cell r="B248" t="str">
            <v>Special Construction</v>
          </cell>
          <cell r="D248" t="str">
            <v>LS special</v>
          </cell>
          <cell r="E248">
            <v>50000</v>
          </cell>
          <cell r="F248" t="str">
            <v>Exhibit Fitout Specialties</v>
          </cell>
          <cell r="I248">
            <v>1</v>
          </cell>
          <cell r="J248">
            <v>50000</v>
          </cell>
          <cell r="K248">
            <v>0.38</v>
          </cell>
        </row>
        <row r="249">
          <cell r="A249" t="str">
            <v>113.27</v>
          </cell>
          <cell r="B249" t="str">
            <v>Special Construction</v>
          </cell>
          <cell r="D249" t="str">
            <v>SF special</v>
          </cell>
          <cell r="E249">
            <v>4.75</v>
          </cell>
          <cell r="F249" t="str">
            <v>Architectural Woodwork</v>
          </cell>
          <cell r="I249">
            <v>133325</v>
          </cell>
          <cell r="J249">
            <v>633293.75</v>
          </cell>
          <cell r="K249">
            <v>4.75</v>
          </cell>
        </row>
        <row r="250">
          <cell r="A250" t="str">
            <v>113.28</v>
          </cell>
          <cell r="B250" t="str">
            <v>Special Construction</v>
          </cell>
          <cell r="K250">
            <v>0</v>
          </cell>
        </row>
        <row r="253">
          <cell r="F253" t="str">
            <v>Building Subtotal</v>
          </cell>
          <cell r="J253">
            <v>30162069.167103842</v>
          </cell>
          <cell r="K253">
            <v>226.23</v>
          </cell>
        </row>
        <row r="254">
          <cell r="F254" t="str">
            <v>Gen. Cond, OH&amp;P</v>
          </cell>
          <cell r="I254">
            <v>0.11999999999999998</v>
          </cell>
          <cell r="J254">
            <v>3619448.3000524603</v>
          </cell>
          <cell r="K254">
            <v>27.15</v>
          </cell>
        </row>
        <row r="255">
          <cell r="F255" t="str">
            <v>Building Subtotal</v>
          </cell>
          <cell r="J255">
            <v>33781517.467156306</v>
          </cell>
          <cell r="K255">
            <v>253.38</v>
          </cell>
        </row>
        <row r="256">
          <cell r="F256" t="str">
            <v>Design Contingency</v>
          </cell>
          <cell r="I256">
            <v>0.12000000000000001</v>
          </cell>
          <cell r="J256">
            <v>4053782.096058757</v>
          </cell>
          <cell r="K256">
            <v>30.41</v>
          </cell>
        </row>
        <row r="257">
          <cell r="F257" t="str">
            <v>Building Subtotal</v>
          </cell>
          <cell r="J257">
            <v>37835299.56321506</v>
          </cell>
          <cell r="K257">
            <v>283.78</v>
          </cell>
        </row>
        <row r="258">
          <cell r="F258" t="str">
            <v>Escalation</v>
          </cell>
          <cell r="I258">
            <v>0.02858679684495269</v>
          </cell>
          <cell r="J258">
            <v>1081590.022181556</v>
          </cell>
          <cell r="K258">
            <v>8.11</v>
          </cell>
        </row>
        <row r="259">
          <cell r="F259" t="str">
            <v>Building Total</v>
          </cell>
          <cell r="J259">
            <v>38916889.58539662</v>
          </cell>
          <cell r="K259">
            <v>291.89</v>
          </cell>
        </row>
      </sheetData>
      <sheetData sheetId="7">
        <row r="6">
          <cell r="A6">
            <v>1</v>
          </cell>
          <cell r="B6">
            <v>1</v>
          </cell>
          <cell r="C6" t="str">
            <v>acres (Immediate Site)</v>
          </cell>
        </row>
        <row r="7">
          <cell r="A7">
            <v>2</v>
          </cell>
          <cell r="B7">
            <v>2</v>
          </cell>
          <cell r="C7" t="str">
            <v>acres</v>
          </cell>
        </row>
        <row r="8">
          <cell r="A8">
            <v>3</v>
          </cell>
          <cell r="B8">
            <v>3</v>
          </cell>
          <cell r="C8" t="str">
            <v>acres</v>
          </cell>
        </row>
        <row r="10">
          <cell r="A10">
            <v>1</v>
          </cell>
          <cell r="B10">
            <v>196363.63636363635</v>
          </cell>
          <cell r="C10" t="str">
            <v>GSF   =</v>
          </cell>
        </row>
        <row r="11">
          <cell r="A11">
            <v>2</v>
          </cell>
          <cell r="B11">
            <v>196364.63636363635</v>
          </cell>
          <cell r="C11" t="str">
            <v>GSF   =</v>
          </cell>
        </row>
        <row r="12">
          <cell r="A12">
            <v>3</v>
          </cell>
          <cell r="B12">
            <v>133325</v>
          </cell>
          <cell r="C12" t="str">
            <v>GSF   =</v>
          </cell>
        </row>
        <row r="13">
          <cell r="A13">
            <v>4</v>
          </cell>
          <cell r="B13">
            <v>196363.63636363635</v>
          </cell>
          <cell r="C13" t="str">
            <v>GSF   =</v>
          </cell>
        </row>
        <row r="14">
          <cell r="A14">
            <v>5</v>
          </cell>
          <cell r="B14">
            <v>196363.63636363635</v>
          </cell>
          <cell r="C14" t="str">
            <v>GSF   =</v>
          </cell>
        </row>
        <row r="16">
          <cell r="A16">
            <v>1</v>
          </cell>
          <cell r="B16">
            <v>0.55</v>
          </cell>
        </row>
        <row r="17">
          <cell r="A17">
            <v>2</v>
          </cell>
          <cell r="B17">
            <v>0.6</v>
          </cell>
        </row>
        <row r="18">
          <cell r="A18">
            <v>3</v>
          </cell>
          <cell r="B18">
            <v>0.53475935828877</v>
          </cell>
        </row>
        <row r="41">
          <cell r="A41">
            <v>1</v>
          </cell>
          <cell r="B41">
            <v>17</v>
          </cell>
          <cell r="C41" t="str">
            <v>feet</v>
          </cell>
        </row>
        <row r="42">
          <cell r="A42">
            <v>2</v>
          </cell>
          <cell r="B42">
            <v>20</v>
          </cell>
          <cell r="C42" t="str">
            <v>feet</v>
          </cell>
        </row>
        <row r="43">
          <cell r="A43">
            <v>3</v>
          </cell>
          <cell r="B43">
            <v>17.6</v>
          </cell>
          <cell r="C43" t="str">
            <v>feet</v>
          </cell>
        </row>
        <row r="44">
          <cell r="A44">
            <v>4</v>
          </cell>
          <cell r="B44">
            <v>16</v>
          </cell>
          <cell r="C44" t="str">
            <v>feet</v>
          </cell>
        </row>
        <row r="45">
          <cell r="A45">
            <v>5</v>
          </cell>
          <cell r="B45">
            <v>0</v>
          </cell>
          <cell r="C45" t="str">
            <v>feet</v>
          </cell>
        </row>
        <row r="47">
          <cell r="A47">
            <v>1</v>
          </cell>
          <cell r="B47">
            <v>20</v>
          </cell>
          <cell r="C47" t="str">
            <v>by 20 feet</v>
          </cell>
        </row>
        <row r="48">
          <cell r="A48">
            <v>2</v>
          </cell>
          <cell r="B48">
            <v>25</v>
          </cell>
          <cell r="C48" t="str">
            <v>by 25 feet</v>
          </cell>
        </row>
        <row r="49">
          <cell r="A49">
            <v>3</v>
          </cell>
          <cell r="B49">
            <v>30</v>
          </cell>
          <cell r="C49" t="str">
            <v>by 30 feet</v>
          </cell>
        </row>
        <row r="51">
          <cell r="A51">
            <v>1</v>
          </cell>
          <cell r="B51">
            <v>649.8492132795114</v>
          </cell>
          <cell r="C51" t="str">
            <v>Square building, min. articulation</v>
          </cell>
        </row>
        <row r="52">
          <cell r="A52">
            <v>2</v>
          </cell>
          <cell r="B52">
            <v>21.548458903414236</v>
          </cell>
          <cell r="C52" t="str">
            <v>Rectangular bldg(1x1.1875), no articulation</v>
          </cell>
        </row>
        <row r="53">
          <cell r="A53">
            <v>3</v>
          </cell>
          <cell r="B53">
            <v>1060.965909090909</v>
          </cell>
          <cell r="C53" t="str">
            <v>Long, narrow, Ell-shaped (6.25::1)</v>
          </cell>
        </row>
        <row r="54">
          <cell r="A54">
            <v>4</v>
          </cell>
          <cell r="B54" t="e">
            <v>#DIV/0!</v>
          </cell>
          <cell r="C54" t="str">
            <v>Rect bldg, Upper court, 4 floors</v>
          </cell>
        </row>
        <row r="56">
          <cell r="A56">
            <v>1</v>
          </cell>
          <cell r="B56">
            <v>0.25</v>
          </cell>
        </row>
        <row r="57">
          <cell r="A57">
            <v>2</v>
          </cell>
          <cell r="B57">
            <v>0.3</v>
          </cell>
        </row>
        <row r="58">
          <cell r="A58">
            <v>3</v>
          </cell>
          <cell r="B58">
            <v>0.48835216622931504</v>
          </cell>
        </row>
        <row r="59">
          <cell r="A59">
            <v>4</v>
          </cell>
          <cell r="B59">
            <v>1</v>
          </cell>
        </row>
      </sheetData>
      <sheetData sheetId="9">
        <row r="1">
          <cell r="A1" t="str">
            <v>8. Project Independent Design Choices</v>
          </cell>
        </row>
        <row r="2">
          <cell r="A2" t="str">
            <v>-</v>
          </cell>
        </row>
        <row r="3">
          <cell r="B3" t="str">
            <v>DESCRIPTION</v>
          </cell>
          <cell r="C3" t="str">
            <v>UNIT COST</v>
          </cell>
        </row>
        <row r="4">
          <cell r="A4" t="str">
            <v>-</v>
          </cell>
        </row>
        <row r="5">
          <cell r="A5" t="str">
            <v>c_SpreadFtg (depends on struc, assum. dead load: Flr-40psf,Roof-75psf)</v>
          </cell>
        </row>
        <row r="6">
          <cell r="A6">
            <v>1</v>
          </cell>
          <cell r="B6" t="str">
            <v>3 ksf soil capacity</v>
          </cell>
          <cell r="C6">
            <v>3700</v>
          </cell>
        </row>
        <row r="7">
          <cell r="A7">
            <v>2</v>
          </cell>
          <cell r="B7" t="str">
            <v>6 ksf soil capacity</v>
          </cell>
          <cell r="C7">
            <v>1665</v>
          </cell>
        </row>
        <row r="8">
          <cell r="A8" t="str">
            <v>c_StripFtg (depends on struc, assum. dead load: Flr-40psf,Roof-75psf)</v>
          </cell>
        </row>
        <row r="9">
          <cell r="A9">
            <v>1</v>
          </cell>
          <cell r="B9" t="str">
            <v>4ft conc wall,no basemt , 3ksi soil</v>
          </cell>
          <cell r="C9">
            <v>61.86</v>
          </cell>
        </row>
        <row r="10">
          <cell r="A10">
            <v>2</v>
          </cell>
          <cell r="B10" t="str">
            <v>8ft conc wall, no basemt, 3ksi soil</v>
          </cell>
          <cell r="C10">
            <v>99.1</v>
          </cell>
        </row>
        <row r="11">
          <cell r="A11">
            <v>3</v>
          </cell>
          <cell r="B11" t="str">
            <v>Basemt footing, for wall see 023, 3ksi soil</v>
          </cell>
          <cell r="C11">
            <v>21</v>
          </cell>
        </row>
        <row r="12">
          <cell r="B12" t="str">
            <v>Includes: Ftg, Fdn wall, Waterproofing, Underdrain</v>
          </cell>
        </row>
        <row r="13">
          <cell r="A13" t="str">
            <v>c_SpecFound (Special Foundations)</v>
          </cell>
        </row>
        <row r="14">
          <cell r="A14">
            <v>1</v>
          </cell>
          <cell r="B14" t="str">
            <v>No additional special foundations</v>
          </cell>
          <cell r="C14">
            <v>0</v>
          </cell>
        </row>
        <row r="15">
          <cell r="A15">
            <v>2</v>
          </cell>
          <cell r="B15" t="str">
            <v>Average additional special foundations</v>
          </cell>
          <cell r="C15">
            <v>2.5</v>
          </cell>
        </row>
        <row r="16">
          <cell r="A16">
            <v>3</v>
          </cell>
          <cell r="B16" t="str">
            <v>Above average additional special foundations</v>
          </cell>
          <cell r="C16">
            <v>5</v>
          </cell>
        </row>
        <row r="17">
          <cell r="A17" t="str">
            <v>c_Excav (Excavation for non-basement buildings)</v>
          </cell>
        </row>
        <row r="18">
          <cell r="A18">
            <v>1</v>
          </cell>
          <cell r="B18" t="str">
            <v>Sand&amp;gravel, on site, see 022</v>
          </cell>
          <cell r="C18">
            <v>0</v>
          </cell>
          <cell r="D18" t="str">
            <v>SF Ground</v>
          </cell>
        </row>
        <row r="19">
          <cell r="A19">
            <v>2</v>
          </cell>
          <cell r="B19" t="str">
            <v>Clay excav, r.o.b. gravel backfill, see 022</v>
          </cell>
          <cell r="C19">
            <v>0</v>
          </cell>
          <cell r="D19" t="str">
            <v>SF Ground</v>
          </cell>
        </row>
        <row r="20">
          <cell r="A20" t="str">
            <v>c_SOG (Slab on Grade)</v>
          </cell>
        </row>
        <row r="21">
          <cell r="A21">
            <v>1</v>
          </cell>
          <cell r="B21" t="str">
            <v>4in thick, non-industrial, reinforced</v>
          </cell>
          <cell r="C21">
            <v>3.25</v>
          </cell>
        </row>
        <row r="22">
          <cell r="A22">
            <v>2</v>
          </cell>
          <cell r="B22" t="str">
            <v>Light industrial, reinforced</v>
          </cell>
          <cell r="C22">
            <v>3.75</v>
          </cell>
        </row>
        <row r="23">
          <cell r="A23" t="str">
            <v>c_Basement Excavation (per cubic foot)</v>
          </cell>
        </row>
        <row r="24">
          <cell r="A24">
            <v>1</v>
          </cell>
          <cell r="B24" t="str">
            <v>No basement, see 011</v>
          </cell>
          <cell r="C24">
            <v>0</v>
          </cell>
        </row>
        <row r="25">
          <cell r="A25">
            <v>2</v>
          </cell>
          <cell r="B25" t="str">
            <v>Sand &amp; gravel,off site storage</v>
          </cell>
          <cell r="C25">
            <v>0.25</v>
          </cell>
        </row>
        <row r="26">
          <cell r="A26">
            <v>3</v>
          </cell>
          <cell r="B26" t="str">
            <v>Clay, gravel borrow for backfill</v>
          </cell>
          <cell r="C26">
            <v>0.4</v>
          </cell>
        </row>
        <row r="27">
          <cell r="A27">
            <v>4</v>
          </cell>
          <cell r="B27" t="str">
            <v>Sand &amp; gravel,off site store, sheet piling</v>
          </cell>
          <cell r="C27">
            <v>0.51</v>
          </cell>
        </row>
        <row r="28">
          <cell r="A28" t="str">
            <v>c_Basement Walls (per wall square foot)</v>
          </cell>
        </row>
        <row r="29">
          <cell r="A29">
            <v>1</v>
          </cell>
          <cell r="B29" t="str">
            <v>No basement, see 011</v>
          </cell>
          <cell r="C29">
            <v>0</v>
          </cell>
        </row>
        <row r="30">
          <cell r="A30">
            <v>2</v>
          </cell>
          <cell r="B30" t="str">
            <v>10" CIP conc, reinf, waterprf, insul, drain tile</v>
          </cell>
          <cell r="C30">
            <v>13.6</v>
          </cell>
        </row>
        <row r="31">
          <cell r="A31">
            <v>3</v>
          </cell>
          <cell r="B31" t="str">
            <v>12" CIP conc, reinf, waterprf,insul, drain tile</v>
          </cell>
          <cell r="C31">
            <v>15.25</v>
          </cell>
        </row>
        <row r="32">
          <cell r="A32">
            <v>4</v>
          </cell>
          <cell r="B32" t="str">
            <v>16" CIP conc, reinf, waterprf,insul, drain tile</v>
          </cell>
          <cell r="C32">
            <v>17.5</v>
          </cell>
        </row>
        <row r="33">
          <cell r="A33" t="str">
            <v>c_ElevFloor (Elevated floor structure)</v>
          </cell>
          <cell r="D33" t="str">
            <v>TOTAL LOAD</v>
          </cell>
        </row>
        <row r="34">
          <cell r="A34">
            <v>1</v>
          </cell>
          <cell r="B34" t="str">
            <v>Steel joists on beam and wall (30 ft bay)</v>
          </cell>
          <cell r="C34">
            <v>9.040000000000001</v>
          </cell>
          <cell r="D34">
            <v>120</v>
          </cell>
        </row>
        <row r="35">
          <cell r="A35">
            <v>2</v>
          </cell>
          <cell r="B35" t="str">
            <v>Composite beam &amp; deck, lt wt slab (30 ft bay)</v>
          </cell>
          <cell r="C35">
            <v>11.639000000000001</v>
          </cell>
          <cell r="D35">
            <v>116</v>
          </cell>
        </row>
        <row r="36">
          <cell r="A36">
            <v>3</v>
          </cell>
          <cell r="B36" t="str">
            <v>Stl bms, composite deck, conc slab (30 ft bay)</v>
          </cell>
          <cell r="C36">
            <v>14.4075</v>
          </cell>
          <cell r="D36">
            <v>129</v>
          </cell>
        </row>
        <row r="37">
          <cell r="A37" t="str">
            <v>c_ColFireProtct (Column fire protection)</v>
          </cell>
        </row>
        <row r="38">
          <cell r="A38">
            <v>1</v>
          </cell>
          <cell r="B38" t="str">
            <v>Sprayed fiber, direct application-1 hour</v>
          </cell>
          <cell r="C38">
            <v>9.36</v>
          </cell>
        </row>
        <row r="39">
          <cell r="A39">
            <v>2</v>
          </cell>
          <cell r="B39" t="str">
            <v>Gypsum board-2 hours</v>
          </cell>
          <cell r="C39">
            <v>12.61</v>
          </cell>
        </row>
        <row r="40">
          <cell r="A40">
            <v>3</v>
          </cell>
          <cell r="B40" t="str">
            <v>Gypsum board-3 hours</v>
          </cell>
          <cell r="C40">
            <v>16.66</v>
          </cell>
        </row>
        <row r="41">
          <cell r="A41" t="str">
            <v>c_Roof (Roof structure depends on SuperStructure choice)</v>
          </cell>
          <cell r="D41" t="str">
            <v>TOTAL LOAD</v>
          </cell>
        </row>
        <row r="42">
          <cell r="A42">
            <v>1</v>
          </cell>
          <cell r="B42" t="str">
            <v>Steel joists,mtl deck,fireproof(30 ft bay)</v>
          </cell>
          <cell r="C42">
            <v>22</v>
          </cell>
          <cell r="D42">
            <v>62</v>
          </cell>
        </row>
        <row r="43">
          <cell r="A43" t="str">
            <v>c_Stairs</v>
          </cell>
        </row>
        <row r="44">
          <cell r="A44">
            <v>1</v>
          </cell>
          <cell r="B44" t="str">
            <v>Steel grate w/nosing, rails &amp; landing (28 risers)</v>
          </cell>
          <cell r="C44">
            <v>9800</v>
          </cell>
        </row>
        <row r="45">
          <cell r="A45">
            <v>2</v>
          </cell>
          <cell r="B45" t="str">
            <v>Cement fill, metal pan w/ landing (28 risers) </v>
          </cell>
          <cell r="C45">
            <v>11800</v>
          </cell>
        </row>
        <row r="46">
          <cell r="A46" t="str">
            <v>c_ExtWalls (Exterior walls)</v>
          </cell>
          <cell r="D46" t="str">
            <v>U-FACTOR</v>
          </cell>
        </row>
        <row r="47">
          <cell r="A47">
            <v>1</v>
          </cell>
          <cell r="B47" t="str">
            <v>Textured concrete masonry, 8" CMU backup</v>
          </cell>
          <cell r="C47">
            <v>18</v>
          </cell>
          <cell r="D47">
            <v>0.08</v>
          </cell>
        </row>
        <row r="48">
          <cell r="A48">
            <v>2</v>
          </cell>
          <cell r="B48" t="str">
            <v>Standard brick, 8" CMU backup</v>
          </cell>
          <cell r="C48">
            <v>25</v>
          </cell>
          <cell r="D48">
            <v>0.07</v>
          </cell>
        </row>
        <row r="49">
          <cell r="A49">
            <v>3</v>
          </cell>
          <cell r="B49" t="str">
            <v>Articulated masonry/stone, 8" CMU backup</v>
          </cell>
          <cell r="C49">
            <v>27</v>
          </cell>
          <cell r="D49">
            <v>0.05</v>
          </cell>
        </row>
        <row r="50">
          <cell r="A50">
            <v>4</v>
          </cell>
          <cell r="B50" t="str">
            <v>2" Indiana limestone, 8" CMU backup</v>
          </cell>
          <cell r="C50">
            <v>32</v>
          </cell>
          <cell r="D50">
            <v>0.07</v>
          </cell>
        </row>
        <row r="51">
          <cell r="A51">
            <v>5</v>
          </cell>
          <cell r="B51" t="str">
            <v>4" Precast conc., 4'x8', 8" CMU backup</v>
          </cell>
          <cell r="C51">
            <v>35.9</v>
          </cell>
          <cell r="D51">
            <v>0.06</v>
          </cell>
        </row>
        <row r="52">
          <cell r="A52">
            <v>6</v>
          </cell>
          <cell r="B52" t="str">
            <v>Aluminum Curtainwall: 50% tint, 50% reflective</v>
          </cell>
          <cell r="C52">
            <v>40.75</v>
          </cell>
          <cell r="D52">
            <v>0.25</v>
          </cell>
        </row>
        <row r="53">
          <cell r="A53">
            <v>7</v>
          </cell>
          <cell r="B53" t="str">
            <v>4"granite, 8" CMU backup</v>
          </cell>
          <cell r="C53">
            <v>45</v>
          </cell>
          <cell r="D53">
            <v>0.06</v>
          </cell>
        </row>
        <row r="54">
          <cell r="A54" t="str">
            <v>c_ExtDoors (Exterior doors)</v>
          </cell>
          <cell r="D54" t="str">
            <v>U-FACTOR</v>
          </cell>
        </row>
        <row r="55">
          <cell r="A55">
            <v>1</v>
          </cell>
          <cell r="B55" t="str">
            <v>Hollow metal 18 ga., incl hdwre</v>
          </cell>
          <cell r="C55">
            <v>1124.5</v>
          </cell>
          <cell r="D55">
            <v>0.2</v>
          </cell>
        </row>
        <row r="56">
          <cell r="A56">
            <v>2</v>
          </cell>
          <cell r="B56" t="str">
            <v>Alum &amp; glass, incl hdwre</v>
          </cell>
          <cell r="C56">
            <v>3359.5</v>
          </cell>
          <cell r="D56">
            <v>0.43</v>
          </cell>
        </row>
        <row r="57">
          <cell r="A57" t="str">
            <v>c_ExtWindows (Exterior windows)</v>
          </cell>
          <cell r="D57" t="str">
            <v>U-FACTOR</v>
          </cell>
        </row>
        <row r="58">
          <cell r="A58">
            <v>1</v>
          </cell>
          <cell r="B58" t="str">
            <v>Alum., dbl hung, std glass</v>
          </cell>
          <cell r="C58">
            <v>750</v>
          </cell>
          <cell r="D58">
            <v>1.1</v>
          </cell>
        </row>
        <row r="59">
          <cell r="A59">
            <v>2</v>
          </cell>
          <cell r="B59" t="str">
            <v>Alum, picture unit, insul glass</v>
          </cell>
          <cell r="C59">
            <v>875</v>
          </cell>
          <cell r="D59">
            <v>0.43</v>
          </cell>
        </row>
        <row r="60">
          <cell r="A60">
            <v>3</v>
          </cell>
          <cell r="B60" t="str">
            <v>Alum, picture unit, insul glass, operable sash</v>
          </cell>
          <cell r="C60">
            <v>1000</v>
          </cell>
          <cell r="D60">
            <v>0.43</v>
          </cell>
        </row>
        <row r="61">
          <cell r="A61" t="str">
            <v>c_RoofCover</v>
          </cell>
        </row>
        <row r="62">
          <cell r="A62">
            <v>1</v>
          </cell>
          <cell r="B62" t="str">
            <v>EDPM single ply roof,55 mil, fully adhered</v>
          </cell>
          <cell r="C62">
            <v>2.1</v>
          </cell>
        </row>
        <row r="63">
          <cell r="A63">
            <v>2</v>
          </cell>
          <cell r="B63" t="str">
            <v>4-ply glass fiber felt w/ gravel</v>
          </cell>
          <cell r="C63">
            <v>2.5</v>
          </cell>
        </row>
        <row r="64">
          <cell r="A64">
            <v>3</v>
          </cell>
          <cell r="B64" t="str">
            <v>Standing seam painted metal roof incl underlament</v>
          </cell>
          <cell r="C64">
            <v>7</v>
          </cell>
        </row>
        <row r="65">
          <cell r="A65">
            <v>4</v>
          </cell>
          <cell r="B65" t="str">
            <v>Standing seam copper metal roof incl underlament</v>
          </cell>
          <cell r="C65">
            <v>10</v>
          </cell>
        </row>
        <row r="66">
          <cell r="A66" t="str">
            <v>c_RoofInsul (Roof insulation)</v>
          </cell>
          <cell r="D66" t="str">
            <v>U-FACTOR</v>
          </cell>
        </row>
        <row r="67">
          <cell r="A67">
            <v>1</v>
          </cell>
          <cell r="B67" t="str">
            <v>1" mineral fiberboard-R2.78</v>
          </cell>
          <cell r="C67">
            <v>1.1</v>
          </cell>
          <cell r="D67">
            <v>0.2</v>
          </cell>
        </row>
        <row r="68">
          <cell r="A68">
            <v>2</v>
          </cell>
          <cell r="B68" t="str">
            <v>2" polystyrene-R10</v>
          </cell>
          <cell r="C68">
            <v>1.6</v>
          </cell>
          <cell r="D68">
            <v>0.05</v>
          </cell>
        </row>
        <row r="69">
          <cell r="A69">
            <v>3</v>
          </cell>
          <cell r="B69" t="str">
            <v>2.25"fiberglass-R8</v>
          </cell>
          <cell r="C69">
            <v>2</v>
          </cell>
          <cell r="D69">
            <v>0.05</v>
          </cell>
        </row>
        <row r="70">
          <cell r="A70" t="str">
            <v>c_RoofEdge</v>
          </cell>
        </row>
        <row r="71">
          <cell r="A71">
            <v>1</v>
          </cell>
          <cell r="B71" t="str">
            <v>Sheet metal, 20ga, galvanized</v>
          </cell>
          <cell r="C71">
            <v>13.5</v>
          </cell>
        </row>
        <row r="72">
          <cell r="A72">
            <v>2</v>
          </cell>
          <cell r="B72" t="str">
            <v>Alum, .05Ó, duranodic</v>
          </cell>
          <cell r="C72">
            <v>15.5</v>
          </cell>
        </row>
        <row r="73">
          <cell r="A73">
            <v>3</v>
          </cell>
          <cell r="B73" t="str">
            <v>Copper, 20oz</v>
          </cell>
          <cell r="C73">
            <v>16.15</v>
          </cell>
        </row>
        <row r="74">
          <cell r="A74" t="str">
            <v>c_Skylight</v>
          </cell>
          <cell r="D74" t="str">
            <v>U-FACTOR</v>
          </cell>
        </row>
        <row r="75">
          <cell r="A75">
            <v>1</v>
          </cell>
          <cell r="B75" t="str">
            <v>No skylight</v>
          </cell>
          <cell r="C75">
            <v>0</v>
          </cell>
          <cell r="D75">
            <v>0</v>
          </cell>
        </row>
        <row r="76">
          <cell r="A76">
            <v>2</v>
          </cell>
          <cell r="B76" t="str">
            <v>Flat/sloped insulated skylight</v>
          </cell>
          <cell r="C76">
            <v>70</v>
          </cell>
          <cell r="D76">
            <v>0.43</v>
          </cell>
        </row>
        <row r="77">
          <cell r="A77" t="str">
            <v>c_Partn (Interior partitions)</v>
          </cell>
        </row>
        <row r="78">
          <cell r="A78">
            <v>1</v>
          </cell>
          <cell r="B78" t="str">
            <v>Gypsum board on metal studs</v>
          </cell>
          <cell r="C78">
            <v>3.25</v>
          </cell>
        </row>
        <row r="79">
          <cell r="A79">
            <v>2</v>
          </cell>
          <cell r="B79" t="str">
            <v>Shaftwall on metal studs</v>
          </cell>
          <cell r="C79">
            <v>4.9</v>
          </cell>
        </row>
        <row r="80">
          <cell r="A80">
            <v>3</v>
          </cell>
          <cell r="B80" t="str">
            <v>Concrete masonry units (6"-8"), grouted</v>
          </cell>
          <cell r="C80">
            <v>8.5</v>
          </cell>
        </row>
        <row r="81">
          <cell r="A81">
            <v>4</v>
          </cell>
          <cell r="B81" t="str">
            <v>Demountable partitions</v>
          </cell>
          <cell r="C81">
            <v>10</v>
          </cell>
        </row>
        <row r="82">
          <cell r="A82">
            <v>5</v>
          </cell>
          <cell r="B82" t="str">
            <v>Custom wood &amp; glass</v>
          </cell>
          <cell r="C82">
            <v>20</v>
          </cell>
        </row>
        <row r="83">
          <cell r="A83">
            <v>6</v>
          </cell>
        </row>
        <row r="84">
          <cell r="A84" t="str">
            <v>c_PartnFinish</v>
          </cell>
        </row>
        <row r="85">
          <cell r="A85">
            <v>1</v>
          </cell>
          <cell r="B85" t="str">
            <v>No partition finish</v>
          </cell>
          <cell r="C85">
            <v>0</v>
          </cell>
        </row>
        <row r="86">
          <cell r="A86">
            <v>2</v>
          </cell>
          <cell r="B86" t="str">
            <v>Paint, primer + 2 coats </v>
          </cell>
          <cell r="C86">
            <v>0.44999999999999996</v>
          </cell>
        </row>
        <row r="87">
          <cell r="A87">
            <v>3</v>
          </cell>
          <cell r="B87" t="str">
            <v>Wall paper</v>
          </cell>
          <cell r="C87">
            <v>0.85</v>
          </cell>
        </row>
        <row r="88">
          <cell r="A88">
            <v>4</v>
          </cell>
          <cell r="B88" t="str">
            <v>Fabric vinyl wall covering</v>
          </cell>
          <cell r="C88">
            <v>2</v>
          </cell>
        </row>
        <row r="89">
          <cell r="A89">
            <v>5</v>
          </cell>
          <cell r="B89" t="str">
            <v>Ceramic tile,adhesive, 4"x4"</v>
          </cell>
          <cell r="C89">
            <v>7.5</v>
          </cell>
        </row>
        <row r="90">
          <cell r="A90">
            <v>6</v>
          </cell>
          <cell r="B90" t="str">
            <v>Prefinished oak plywd paneling</v>
          </cell>
          <cell r="C90">
            <v>12.9</v>
          </cell>
        </row>
        <row r="91">
          <cell r="A91">
            <v>7</v>
          </cell>
          <cell r="B91" t="str">
            <v>Prefin. walnut plywd paneling</v>
          </cell>
          <cell r="C91">
            <v>12</v>
          </cell>
        </row>
        <row r="92">
          <cell r="A92" t="str">
            <v>c_IntDoors</v>
          </cell>
        </row>
        <row r="93">
          <cell r="A93">
            <v>1</v>
          </cell>
          <cell r="B93" t="str">
            <v>Hollow core, oak 3x7, incl HM frame &amp; hdwre</v>
          </cell>
          <cell r="C93">
            <v>700</v>
          </cell>
        </row>
        <row r="94">
          <cell r="A94">
            <v>2</v>
          </cell>
          <cell r="B94" t="str">
            <v>Hollow metal, incl hdwre</v>
          </cell>
          <cell r="C94">
            <v>810</v>
          </cell>
        </row>
        <row r="95">
          <cell r="A95">
            <v>3</v>
          </cell>
          <cell r="B95" t="str">
            <v>Sld core, oak, HM FR, incl hdwr w/ 80% sidelighted</v>
          </cell>
          <cell r="C95">
            <v>1060</v>
          </cell>
        </row>
        <row r="96">
          <cell r="A96" t="str">
            <v>c_FloorFinish</v>
          </cell>
        </row>
        <row r="97">
          <cell r="A97">
            <v>1</v>
          </cell>
          <cell r="B97" t="str">
            <v>Vinyl composition tile (VCT)</v>
          </cell>
          <cell r="C97">
            <v>1.8</v>
          </cell>
        </row>
        <row r="98">
          <cell r="A98">
            <v>2</v>
          </cell>
          <cell r="B98" t="str">
            <v>Resilient sheet vinyl</v>
          </cell>
          <cell r="C98">
            <v>2.25</v>
          </cell>
        </row>
        <row r="99">
          <cell r="A99">
            <v>3</v>
          </cell>
          <cell r="B99" t="str">
            <v>Carpet + padding</v>
          </cell>
          <cell r="C99">
            <v>3.5</v>
          </cell>
        </row>
        <row r="100">
          <cell r="A100">
            <v>4</v>
          </cell>
          <cell r="B100" t="str">
            <v>Oak flr, sanded and finished</v>
          </cell>
          <cell r="C100">
            <v>7.5</v>
          </cell>
        </row>
        <row r="101">
          <cell r="A101">
            <v>5</v>
          </cell>
          <cell r="B101" t="str">
            <v>Ceramic tile</v>
          </cell>
          <cell r="C101">
            <v>6.5</v>
          </cell>
        </row>
        <row r="102">
          <cell r="A102">
            <v>6</v>
          </cell>
          <cell r="B102" t="str">
            <v>Epoxy: troweled-on</v>
          </cell>
          <cell r="C102">
            <v>15</v>
          </cell>
        </row>
        <row r="103">
          <cell r="A103">
            <v>7</v>
          </cell>
          <cell r="B103" t="str">
            <v>18" steel raised floor, carpet tile</v>
          </cell>
          <cell r="C103">
            <v>15</v>
          </cell>
        </row>
        <row r="104">
          <cell r="A104" t="str">
            <v>c_ClngFinish</v>
          </cell>
        </row>
        <row r="105">
          <cell r="A105">
            <v>1</v>
          </cell>
          <cell r="B105" t="str">
            <v>No ceiling</v>
          </cell>
          <cell r="C105">
            <v>0</v>
          </cell>
        </row>
        <row r="106">
          <cell r="A106">
            <v>2</v>
          </cell>
          <cell r="B106" t="str">
            <v>Epoxy ceiling finish</v>
          </cell>
          <cell r="C106">
            <v>1.1600000000000001</v>
          </cell>
        </row>
        <row r="107">
          <cell r="A107">
            <v>3</v>
          </cell>
          <cell r="B107" t="str">
            <v>Architectural acoustic tile, no sound insul</v>
          </cell>
          <cell r="C107">
            <v>2.5</v>
          </cell>
        </row>
        <row r="108">
          <cell r="A108">
            <v>4</v>
          </cell>
          <cell r="B108" t="str">
            <v>Drywall,painted,2 coats</v>
          </cell>
          <cell r="C108">
            <v>3</v>
          </cell>
        </row>
        <row r="109">
          <cell r="A109">
            <v>5</v>
          </cell>
          <cell r="B109" t="str">
            <v>Gypsum plaster,mtl lath,furring,paint</v>
          </cell>
          <cell r="C109">
            <v>3.25</v>
          </cell>
        </row>
        <row r="110">
          <cell r="A110">
            <v>6</v>
          </cell>
          <cell r="B110" t="str">
            <v>Architectural acoustic tile, sound insul</v>
          </cell>
          <cell r="C110">
            <v>3</v>
          </cell>
        </row>
        <row r="111">
          <cell r="A111">
            <v>7</v>
          </cell>
          <cell r="B111" t="str">
            <v>Stainless steel</v>
          </cell>
          <cell r="C111">
            <v>7.59</v>
          </cell>
        </row>
        <row r="112">
          <cell r="A112" t="str">
            <v>c_Specialties</v>
          </cell>
        </row>
        <row r="113">
          <cell r="A113">
            <v>1</v>
          </cell>
          <cell r="B113" t="str">
            <v>Economy specialties</v>
          </cell>
          <cell r="C113">
            <v>1</v>
          </cell>
        </row>
        <row r="114">
          <cell r="A114">
            <v>2</v>
          </cell>
          <cell r="B114" t="str">
            <v>Medium quality specialties</v>
          </cell>
          <cell r="C114">
            <v>1.1</v>
          </cell>
        </row>
        <row r="115">
          <cell r="A115">
            <v>3</v>
          </cell>
          <cell r="B115" t="str">
            <v>Extensive hospital specialties</v>
          </cell>
          <cell r="C115">
            <v>3</v>
          </cell>
        </row>
        <row r="116">
          <cell r="A116" t="str">
            <v>c_Elevators</v>
          </cell>
          <cell r="D116" t="str">
            <v>Horsepower</v>
          </cell>
        </row>
        <row r="117">
          <cell r="A117">
            <v>1</v>
          </cell>
          <cell r="B117" t="str">
            <v>1500lb passenger, hydraulic, 5 stops</v>
          </cell>
          <cell r="C117">
            <v>81900</v>
          </cell>
          <cell r="D117">
            <v>12</v>
          </cell>
        </row>
        <row r="118">
          <cell r="A118">
            <v>2</v>
          </cell>
          <cell r="B118" t="str">
            <v>3000lb passenger, 5 stops</v>
          </cell>
          <cell r="C118">
            <v>180000</v>
          </cell>
          <cell r="D118">
            <v>16</v>
          </cell>
        </row>
        <row r="119">
          <cell r="A119">
            <v>3</v>
          </cell>
          <cell r="B119" t="str">
            <v>4000lb freight, 5 stops</v>
          </cell>
          <cell r="C119">
            <v>200000</v>
          </cell>
          <cell r="D119">
            <v>20</v>
          </cell>
        </row>
        <row r="120">
          <cell r="A120" t="str">
            <v>c_Plumbing</v>
          </cell>
        </row>
        <row r="121">
          <cell r="A121">
            <v>1</v>
          </cell>
          <cell r="B121" t="str">
            <v>Economy plumbing fixtures</v>
          </cell>
          <cell r="C121">
            <v>1600</v>
          </cell>
        </row>
        <row r="122">
          <cell r="A122">
            <v>2</v>
          </cell>
          <cell r="B122" t="str">
            <v>Medium quality plumbing fixtures</v>
          </cell>
          <cell r="C122">
            <v>2000</v>
          </cell>
        </row>
        <row r="123">
          <cell r="A123">
            <v>3</v>
          </cell>
          <cell r="B123" t="str">
            <v>High quality plumbing fixtures</v>
          </cell>
          <cell r="C123">
            <v>2400</v>
          </cell>
        </row>
        <row r="124">
          <cell r="A124" t="str">
            <v>c_FireProtect </v>
          </cell>
        </row>
        <row r="125">
          <cell r="A125">
            <v>1</v>
          </cell>
          <cell r="B125" t="str">
            <v>4" wet standpipe, Cabinet assy</v>
          </cell>
          <cell r="C125">
            <v>0.07519219951246953</v>
          </cell>
        </row>
        <row r="126">
          <cell r="A126">
            <v>2</v>
          </cell>
          <cell r="B126" t="str">
            <v>Wet sprinkler, Light hazard + 4" wet standpipe, Cabinet assy</v>
          </cell>
          <cell r="C126">
            <v>1.6751921995124697</v>
          </cell>
        </row>
        <row r="127">
          <cell r="A127">
            <v>3</v>
          </cell>
          <cell r="B127" t="str">
            <v>Wet sprinkler, ordinary hazard + 4" wet standpipe, Cabinet assy</v>
          </cell>
          <cell r="C127">
            <v>1.9751921995124695</v>
          </cell>
        </row>
        <row r="128">
          <cell r="A128">
            <v>4</v>
          </cell>
          <cell r="B128" t="str">
            <v>Wet sprinkler, extra hazard + 4" wet standpipe, Cabinet assy</v>
          </cell>
          <cell r="C128">
            <v>2.4251921995124697</v>
          </cell>
        </row>
        <row r="129">
          <cell r="A129" t="str">
            <v>c_HVAC</v>
          </cell>
          <cell r="D129" t="str">
            <v>Power Input</v>
          </cell>
        </row>
        <row r="130">
          <cell r="A130">
            <v>1</v>
          </cell>
          <cell r="B130" t="str">
            <v>Rooftop heat/cool w/supply &amp; return diffuser</v>
          </cell>
          <cell r="C130">
            <v>2240</v>
          </cell>
          <cell r="D130">
            <v>1.6</v>
          </cell>
        </row>
        <row r="131">
          <cell r="A131">
            <v>2</v>
          </cell>
          <cell r="B131" t="str">
            <v>Rooftop heat/cool w/ average ductwork</v>
          </cell>
          <cell r="C131">
            <v>3080</v>
          </cell>
          <cell r="D131">
            <v>1.4</v>
          </cell>
        </row>
        <row r="132">
          <cell r="A132">
            <v>3</v>
          </cell>
          <cell r="B132" t="str">
            <v>Multizone rooftop heat/cool, ave ducts</v>
          </cell>
          <cell r="C132">
            <v>3920</v>
          </cell>
          <cell r="D132">
            <v>1.6</v>
          </cell>
        </row>
        <row r="133">
          <cell r="A133">
            <v>4</v>
          </cell>
          <cell r="B133" t="str">
            <v>VAV sys w/pack a/c &amp; fan power hydron reheat box</v>
          </cell>
          <cell r="C133">
            <v>4130</v>
          </cell>
          <cell r="D133">
            <v>1.2</v>
          </cell>
        </row>
        <row r="134">
          <cell r="A134">
            <v>5</v>
          </cell>
          <cell r="B134" t="str">
            <v>VAV sys w/pack AHU &amp; fan power hydron reheat box</v>
          </cell>
          <cell r="C134">
            <v>4200</v>
          </cell>
          <cell r="D134">
            <v>1.2</v>
          </cell>
        </row>
        <row r="135">
          <cell r="A135">
            <v>6</v>
          </cell>
          <cell r="B135" t="str">
            <v>CW,var. vol w/fan power elec reheat</v>
          </cell>
          <cell r="C135">
            <v>4410</v>
          </cell>
          <cell r="D135">
            <v>1.2</v>
          </cell>
        </row>
        <row r="136">
          <cell r="A136">
            <v>7</v>
          </cell>
          <cell r="B136" t="str">
            <v>CW,var. vol w/fan power elec reheat,No C/B</v>
          </cell>
          <cell r="C136">
            <v>3910</v>
          </cell>
          <cell r="D136">
            <v>1.2</v>
          </cell>
        </row>
        <row r="137">
          <cell r="A137">
            <v>8</v>
          </cell>
          <cell r="B137" t="str">
            <v>CW,heat/cool,compressor refrig</v>
          </cell>
          <cell r="C137">
            <v>4760</v>
          </cell>
          <cell r="D137">
            <v>1.4</v>
          </cell>
        </row>
        <row r="138">
          <cell r="A138">
            <v>9</v>
          </cell>
          <cell r="B138" t="str">
            <v>CW,heat/cool,compressor refrig,No C/B</v>
          </cell>
          <cell r="C138">
            <v>4260</v>
          </cell>
          <cell r="D138">
            <v>1.4</v>
          </cell>
        </row>
        <row r="139">
          <cell r="A139">
            <v>10</v>
          </cell>
          <cell r="B139" t="str">
            <v>CW,const vol,term reheat w/perim induction</v>
          </cell>
          <cell r="C139">
            <v>4900</v>
          </cell>
          <cell r="D139">
            <v>1.6</v>
          </cell>
        </row>
        <row r="140">
          <cell r="A140">
            <v>11</v>
          </cell>
          <cell r="B140" t="str">
            <v>CW,const vol,term reht w/perim induc,No C/B</v>
          </cell>
          <cell r="C140">
            <v>4400</v>
          </cell>
          <cell r="D140">
            <v>1.6</v>
          </cell>
        </row>
        <row r="141">
          <cell r="A141">
            <v>12</v>
          </cell>
          <cell r="B141" t="str">
            <v>CW, variable vol, terminal reheat </v>
          </cell>
          <cell r="C141">
            <v>5600</v>
          </cell>
          <cell r="D141">
            <v>1.4</v>
          </cell>
        </row>
        <row r="142">
          <cell r="A142">
            <v>13</v>
          </cell>
          <cell r="B142" t="str">
            <v>CW, variable vol, terminal reheat, No C/B</v>
          </cell>
          <cell r="C142">
            <v>5100</v>
          </cell>
          <cell r="D142">
            <v>1.4</v>
          </cell>
        </row>
        <row r="143">
          <cell r="A143">
            <v>14</v>
          </cell>
          <cell r="B143" t="str">
            <v>CW,var vol,w/perim. rad,chill/boilers</v>
          </cell>
          <cell r="C143">
            <v>5800</v>
          </cell>
          <cell r="D143">
            <v>1.2</v>
          </cell>
        </row>
        <row r="144">
          <cell r="A144">
            <v>15</v>
          </cell>
          <cell r="B144" t="str">
            <v>CW,var vol,w/perim. rad,No chill/boilers</v>
          </cell>
          <cell r="C144">
            <v>5300</v>
          </cell>
          <cell r="D144">
            <v>1.2</v>
          </cell>
        </row>
        <row r="145">
          <cell r="A145">
            <v>16</v>
          </cell>
          <cell r="B145" t="str">
            <v>CW,var vol,w/perim. rad,chil/boil(Hospital)</v>
          </cell>
          <cell r="C145">
            <v>6500</v>
          </cell>
          <cell r="D145">
            <v>1.2</v>
          </cell>
        </row>
        <row r="146">
          <cell r="A146">
            <v>17</v>
          </cell>
          <cell r="B146" t="str">
            <v>CW,var vol,w/perim. rad,No C/B (Hospital)</v>
          </cell>
          <cell r="C146">
            <v>6000</v>
          </cell>
          <cell r="D146">
            <v>1.2</v>
          </cell>
        </row>
        <row r="147">
          <cell r="A147">
            <v>18</v>
          </cell>
          <cell r="B147" t="str">
            <v>Multizone heat/cool,ave ducts,HW perim basebd</v>
          </cell>
          <cell r="C147">
            <v>6810</v>
          </cell>
          <cell r="D147">
            <v>1.6</v>
          </cell>
        </row>
        <row r="148">
          <cell r="A148">
            <v>19</v>
          </cell>
          <cell r="B148" t="str">
            <v>Multizone heat/cool,ave ducts,HW perim,No C/B</v>
          </cell>
          <cell r="C148">
            <v>6310</v>
          </cell>
          <cell r="D148">
            <v>1.6</v>
          </cell>
        </row>
        <row r="149">
          <cell r="A149">
            <v>20</v>
          </cell>
          <cell r="B149" t="str">
            <v>Clean Room, Class 10,000</v>
          </cell>
          <cell r="C149">
            <v>0</v>
          </cell>
          <cell r="D149">
            <v>1.6</v>
          </cell>
        </row>
        <row r="150">
          <cell r="A150">
            <v>21</v>
          </cell>
          <cell r="B150" t="str">
            <v>Clean Room, Class 1,000</v>
          </cell>
          <cell r="C150">
            <v>0</v>
          </cell>
          <cell r="D150">
            <v>1.6</v>
          </cell>
        </row>
        <row r="151">
          <cell r="A151">
            <v>22</v>
          </cell>
          <cell r="B151" t="str">
            <v>Clean Room, Class 100</v>
          </cell>
          <cell r="C151">
            <v>0</v>
          </cell>
          <cell r="D151">
            <v>1.6</v>
          </cell>
        </row>
        <row r="152">
          <cell r="A152">
            <v>23</v>
          </cell>
          <cell r="B152" t="str">
            <v>Clean Room, Class 10</v>
          </cell>
          <cell r="C152">
            <v>0</v>
          </cell>
          <cell r="D152">
            <v>1.6</v>
          </cell>
        </row>
        <row r="153">
          <cell r="A153">
            <v>24</v>
          </cell>
          <cell r="B153" t="str">
            <v>Clean Room, Class 1</v>
          </cell>
          <cell r="C153">
            <v>0</v>
          </cell>
          <cell r="D153">
            <v>1.6</v>
          </cell>
        </row>
        <row r="154">
          <cell r="A154">
            <v>25</v>
          </cell>
          <cell r="B154" t="str">
            <v>Clean Room, Class 1</v>
          </cell>
          <cell r="C154">
            <v>0</v>
          </cell>
        </row>
        <row r="156">
          <cell r="A156" t="str">
            <v>c_SpecFire</v>
          </cell>
        </row>
        <row r="157">
          <cell r="A157">
            <v>1</v>
          </cell>
          <cell r="B157" t="str">
            <v>No halon fire protection system</v>
          </cell>
          <cell r="C157">
            <v>0</v>
          </cell>
        </row>
        <row r="158">
          <cell r="A158">
            <v>2</v>
          </cell>
          <cell r="B158" t="str">
            <v>Average special mechanical systems</v>
          </cell>
          <cell r="C158">
            <v>2.5</v>
          </cell>
        </row>
        <row r="159">
          <cell r="A159">
            <v>3</v>
          </cell>
          <cell r="B159" t="str">
            <v>Extensive special mechanical systems</v>
          </cell>
          <cell r="C159">
            <v>4.5</v>
          </cell>
        </row>
        <row r="160">
          <cell r="A160" t="str">
            <v>c_ElecService</v>
          </cell>
        </row>
        <row r="161">
          <cell r="A161">
            <v>1</v>
          </cell>
          <cell r="B161" t="str">
            <v>Minimum service &amp; distribution System</v>
          </cell>
          <cell r="C161">
            <v>250</v>
          </cell>
        </row>
        <row r="162">
          <cell r="A162">
            <v>2</v>
          </cell>
          <cell r="B162" t="str">
            <v>Average service &amp; distribution System</v>
          </cell>
          <cell r="C162">
            <v>370</v>
          </cell>
        </row>
        <row r="163">
          <cell r="A163">
            <v>3</v>
          </cell>
          <cell r="B163" t="str">
            <v>Maximum service &amp; distribution System</v>
          </cell>
          <cell r="C163">
            <v>450</v>
          </cell>
        </row>
        <row r="164">
          <cell r="A164" t="str">
            <v>c_Lighting</v>
          </cell>
          <cell r="D164" t="str">
            <v>watts/sf</v>
          </cell>
        </row>
        <row r="165">
          <cell r="A165">
            <v>1</v>
          </cell>
          <cell r="B165" t="str">
            <v>40 footcandles, fluorescent, conduit, wire,recept</v>
          </cell>
          <cell r="C165">
            <v>3</v>
          </cell>
          <cell r="D165">
            <v>2.2</v>
          </cell>
        </row>
        <row r="166">
          <cell r="A166">
            <v>2</v>
          </cell>
          <cell r="B166" t="str">
            <v>60 footcandles, fluorescent, conduit, wire,recept</v>
          </cell>
          <cell r="C166">
            <v>4</v>
          </cell>
          <cell r="D166">
            <v>3</v>
          </cell>
        </row>
        <row r="167">
          <cell r="A167">
            <v>3</v>
          </cell>
          <cell r="B167" t="str">
            <v>Hospital lighting, conduit, wire, recepticals</v>
          </cell>
          <cell r="C167">
            <v>7</v>
          </cell>
          <cell r="D167">
            <v>4.2</v>
          </cell>
        </row>
        <row r="168">
          <cell r="A168" t="str">
            <v>c_Communication</v>
          </cell>
        </row>
        <row r="169">
          <cell r="A169">
            <v>1</v>
          </cell>
          <cell r="B169" t="str">
            <v>No communication system</v>
          </cell>
          <cell r="C169">
            <v>0</v>
          </cell>
        </row>
        <row r="170">
          <cell r="A170">
            <v>2</v>
          </cell>
          <cell r="B170" t="str">
            <v>Fiber optic system (backbone System only)</v>
          </cell>
          <cell r="C170">
            <v>1</v>
          </cell>
        </row>
        <row r="171">
          <cell r="A171">
            <v>3</v>
          </cell>
          <cell r="B171" t="str">
            <v>Fiber optic system (backbone + workstation)</v>
          </cell>
          <cell r="C171">
            <v>4</v>
          </cell>
        </row>
        <row r="172">
          <cell r="A172" t="str">
            <v>c_Telephone</v>
          </cell>
        </row>
        <row r="173">
          <cell r="A173">
            <v>1</v>
          </cell>
          <cell r="B173" t="str">
            <v>No telephone system</v>
          </cell>
          <cell r="C173">
            <v>0</v>
          </cell>
        </row>
        <row r="174">
          <cell r="A174">
            <v>2</v>
          </cell>
          <cell r="B174" t="str">
            <v>Telephone system cabing to workstation</v>
          </cell>
          <cell r="C174">
            <v>1</v>
          </cell>
        </row>
        <row r="175">
          <cell r="A175">
            <v>3</v>
          </cell>
          <cell r="B175" t="str">
            <v>Telephone workstation cabling, phone instruments</v>
          </cell>
          <cell r="C175">
            <v>1.25</v>
          </cell>
        </row>
        <row r="176">
          <cell r="A176" t="str">
            <v>c_DataRaceway</v>
          </cell>
        </row>
        <row r="177">
          <cell r="A177">
            <v>1</v>
          </cell>
          <cell r="B177" t="str">
            <v>No data raceway system</v>
          </cell>
          <cell r="C177">
            <v>0</v>
          </cell>
        </row>
        <row r="178">
          <cell r="A178">
            <v>2</v>
          </cell>
          <cell r="B178" t="str">
            <v>Average data raceway system</v>
          </cell>
          <cell r="C178">
            <v>1</v>
          </cell>
        </row>
        <row r="179">
          <cell r="A179">
            <v>3</v>
          </cell>
          <cell r="B179" t="str">
            <v>Extensive data raceway system</v>
          </cell>
          <cell r="C179">
            <v>2</v>
          </cell>
        </row>
        <row r="180">
          <cell r="A180" t="str">
            <v>c_FireAlarm</v>
          </cell>
        </row>
        <row r="181">
          <cell r="A181">
            <v>1</v>
          </cell>
          <cell r="B181" t="str">
            <v>No fire alarm system</v>
          </cell>
          <cell r="C181">
            <v>0</v>
          </cell>
        </row>
        <row r="182">
          <cell r="A182">
            <v>2</v>
          </cell>
          <cell r="B182" t="str">
            <v>Average fire alarm system</v>
          </cell>
          <cell r="C182">
            <v>0.3</v>
          </cell>
        </row>
        <row r="183">
          <cell r="A183">
            <v>3</v>
          </cell>
          <cell r="B183" t="str">
            <v>Extensive fire alarm system</v>
          </cell>
          <cell r="C183">
            <v>0.5</v>
          </cell>
        </row>
        <row r="184">
          <cell r="A184" t="str">
            <v>c_Emergency Power</v>
          </cell>
        </row>
        <row r="185">
          <cell r="A185">
            <v>1</v>
          </cell>
          <cell r="B185" t="str">
            <v>No emergency power</v>
          </cell>
          <cell r="C185">
            <v>0</v>
          </cell>
        </row>
        <row r="186">
          <cell r="A186">
            <v>2</v>
          </cell>
          <cell r="B186" t="str">
            <v>300 KVA UPS emergency power </v>
          </cell>
          <cell r="C186">
            <v>120000</v>
          </cell>
        </row>
        <row r="187">
          <cell r="A187">
            <v>3</v>
          </cell>
          <cell r="B187" t="str">
            <v>600KVA UPS + 2000KVA Co-gen system</v>
          </cell>
          <cell r="C187">
            <v>1000000</v>
          </cell>
        </row>
        <row r="188">
          <cell r="A188" t="str">
            <v>c_Fixed/Movable Equipment</v>
          </cell>
        </row>
        <row r="189">
          <cell r="A189">
            <v>1</v>
          </cell>
          <cell r="B189" t="str">
            <v>No fixed/movable equipment</v>
          </cell>
          <cell r="C189">
            <v>0</v>
          </cell>
        </row>
        <row r="190">
          <cell r="A190">
            <v>2</v>
          </cell>
          <cell r="B190" t="str">
            <v>Average quality fixed/movable equipment</v>
          </cell>
          <cell r="C190">
            <v>375</v>
          </cell>
        </row>
        <row r="191">
          <cell r="A191">
            <v>3</v>
          </cell>
          <cell r="B191" t="str">
            <v>High quality fixed/movable equipment</v>
          </cell>
          <cell r="C191">
            <v>500</v>
          </cell>
        </row>
        <row r="192">
          <cell r="A192" t="str">
            <v>c_Furnishings</v>
          </cell>
        </row>
        <row r="193">
          <cell r="A193">
            <v>1</v>
          </cell>
          <cell r="B193" t="str">
            <v>No attached furnishings</v>
          </cell>
          <cell r="C193">
            <v>0</v>
          </cell>
        </row>
        <row r="194">
          <cell r="A194">
            <v>2</v>
          </cell>
          <cell r="B194" t="str">
            <v>Average attached furnishings(window treatment,etc)</v>
          </cell>
          <cell r="C194">
            <v>0.5</v>
          </cell>
        </row>
        <row r="195">
          <cell r="A195">
            <v>3</v>
          </cell>
          <cell r="B195" t="str">
            <v>Extensive attached furnishings(window treatment,etc)</v>
          </cell>
          <cell r="C195">
            <v>2</v>
          </cell>
        </row>
        <row r="196">
          <cell r="A196" t="str">
            <v>c_Special Construction</v>
          </cell>
        </row>
        <row r="197">
          <cell r="A197">
            <v>1</v>
          </cell>
          <cell r="B197" t="str">
            <v>Moderate quality special purpose space</v>
          </cell>
          <cell r="C197">
            <v>100</v>
          </cell>
        </row>
        <row r="198">
          <cell r="A198">
            <v>2</v>
          </cell>
          <cell r="B198" t="str">
            <v>Average quality special purpose space</v>
          </cell>
          <cell r="C198">
            <v>200</v>
          </cell>
        </row>
        <row r="199">
          <cell r="A199">
            <v>3</v>
          </cell>
          <cell r="B199" t="str">
            <v>High quality special purpose exhibit space</v>
          </cell>
          <cell r="C199">
            <v>350</v>
          </cell>
        </row>
        <row r="200">
          <cell r="A200" t="str">
            <v>c_Site Prep</v>
          </cell>
        </row>
        <row r="201">
          <cell r="A201">
            <v>1</v>
          </cell>
          <cell r="B201" t="str">
            <v>Minimum clear and grub</v>
          </cell>
          <cell r="C201">
            <v>12500</v>
          </cell>
        </row>
        <row r="202">
          <cell r="A202">
            <v>2</v>
          </cell>
          <cell r="B202" t="str">
            <v>Average clear and grub, site dewatering</v>
          </cell>
          <cell r="C202">
            <v>13750</v>
          </cell>
        </row>
        <row r="203">
          <cell r="A203">
            <v>3</v>
          </cell>
          <cell r="B203" t="str">
            <v>Extensive clear and grub, demolition</v>
          </cell>
          <cell r="C203">
            <v>50000</v>
          </cell>
        </row>
        <row r="204">
          <cell r="A204" t="str">
            <v>c_PkgLot (300 SF/per car)</v>
          </cell>
        </row>
        <row r="205">
          <cell r="A205">
            <v>1</v>
          </cell>
          <cell r="B205" t="str">
            <v>90 degree,3" bitum paving, 6" gravel base</v>
          </cell>
          <cell r="C205">
            <v>1200</v>
          </cell>
        </row>
        <row r="206">
          <cell r="A206">
            <v>2</v>
          </cell>
          <cell r="B206" t="str">
            <v>90 degree, 4" bitum paving, 8" gravel base</v>
          </cell>
          <cell r="C206">
            <v>1600</v>
          </cell>
        </row>
        <row r="207">
          <cell r="A207">
            <v>3</v>
          </cell>
          <cell r="B207" t="str">
            <v>Parking structure (Half of Parking Req'mts)</v>
          </cell>
          <cell r="C207">
            <v>4500</v>
          </cell>
        </row>
        <row r="208">
          <cell r="A208" t="str">
            <v>c_Roadway (per linear foot of roadway)</v>
          </cell>
        </row>
        <row r="209">
          <cell r="A209">
            <v>1</v>
          </cell>
          <cell r="B209" t="str">
            <v>2.5" bituminous conc on 9" base, 24' wide</v>
          </cell>
          <cell r="C209">
            <v>100</v>
          </cell>
        </row>
        <row r="210">
          <cell r="A210">
            <v>2</v>
          </cell>
          <cell r="B210" t="str">
            <v>3.0" bituminous conc on 9" base, 24' wide</v>
          </cell>
          <cell r="C210">
            <v>110</v>
          </cell>
        </row>
        <row r="211">
          <cell r="A211">
            <v>3</v>
          </cell>
          <cell r="B211" t="str">
            <v>4.0" bituminous conc on 9" base, 24' wide</v>
          </cell>
          <cell r="C211">
            <v>120</v>
          </cell>
        </row>
        <row r="212">
          <cell r="A212" t="str">
            <v>c_Sidewalk (per linear foot of sidewalk)</v>
          </cell>
        </row>
        <row r="213">
          <cell r="A213">
            <v>1</v>
          </cell>
          <cell r="B213" t="str">
            <v>2" bituminous paving, 4" gravel, 4' width</v>
          </cell>
          <cell r="C213">
            <v>7.8</v>
          </cell>
        </row>
        <row r="214">
          <cell r="A214">
            <v>2</v>
          </cell>
          <cell r="B214" t="str">
            <v>4" conc paving, 4" gravel, 4' width</v>
          </cell>
          <cell r="C214">
            <v>11</v>
          </cell>
        </row>
        <row r="215">
          <cell r="A215">
            <v>3</v>
          </cell>
          <cell r="B215" t="str">
            <v>6" conc paving, 4" gravel, 4' width</v>
          </cell>
          <cell r="C215">
            <v>13</v>
          </cell>
        </row>
        <row r="216">
          <cell r="A216" t="str">
            <v>c_Site Development (per acre)</v>
          </cell>
        </row>
        <row r="217">
          <cell r="A217">
            <v>1</v>
          </cell>
          <cell r="B217" t="str">
            <v>Minimum site development</v>
          </cell>
          <cell r="C217">
            <v>1000</v>
          </cell>
        </row>
        <row r="218">
          <cell r="A218">
            <v>2</v>
          </cell>
          <cell r="B218" t="str">
            <v>Average site development</v>
          </cell>
          <cell r="C218">
            <v>5000</v>
          </cell>
        </row>
        <row r="219">
          <cell r="A219">
            <v>3</v>
          </cell>
          <cell r="B219" t="str">
            <v>Extensive site development</v>
          </cell>
          <cell r="C219">
            <v>15000</v>
          </cell>
        </row>
        <row r="220">
          <cell r="A220" t="str">
            <v>c_Landscaping (per acre)</v>
          </cell>
        </row>
        <row r="221">
          <cell r="A221">
            <v>1</v>
          </cell>
          <cell r="B221" t="str">
            <v>Minimum: topsoil,seeding,few trees/shrubs</v>
          </cell>
          <cell r="C221">
            <v>15000</v>
          </cell>
        </row>
        <row r="222">
          <cell r="A222">
            <v>2</v>
          </cell>
          <cell r="B222" t="str">
            <v>Average: topsoil,sod,some trees/shrubs</v>
          </cell>
          <cell r="C222">
            <v>20000</v>
          </cell>
        </row>
        <row r="223">
          <cell r="A223">
            <v>3</v>
          </cell>
          <cell r="B223" t="str">
            <v>Extensive: topsoil,sod,various trees/shrubs</v>
          </cell>
          <cell r="C223">
            <v>40000</v>
          </cell>
        </row>
        <row r="224">
          <cell r="A224" t="str">
            <v>c_Water Pipe (per LF)</v>
          </cell>
        </row>
        <row r="225">
          <cell r="A225">
            <v>1</v>
          </cell>
          <cell r="B225" t="str">
            <v>8" PVC, class 150, SDR 18, excav &amp; backfill</v>
          </cell>
          <cell r="C225">
            <v>27</v>
          </cell>
        </row>
        <row r="226">
          <cell r="A226">
            <v>2</v>
          </cell>
          <cell r="B226" t="str">
            <v>8" ductile iron class 250, excav &amp; backfill</v>
          </cell>
          <cell r="C226">
            <v>30</v>
          </cell>
        </row>
        <row r="227">
          <cell r="A227">
            <v>3</v>
          </cell>
          <cell r="B227" t="str">
            <v>12" ductile iron class 250, excav &amp; backfill</v>
          </cell>
          <cell r="C227">
            <v>40</v>
          </cell>
        </row>
        <row r="228">
          <cell r="A228" t="str">
            <v>c_Drainage &amp; Sewage Pipe (per LF)</v>
          </cell>
        </row>
        <row r="229">
          <cell r="A229">
            <v>1</v>
          </cell>
          <cell r="B229" t="str">
            <v>10" PVC, SDR 35, MH, excav &amp; backfill</v>
          </cell>
          <cell r="C229">
            <v>24</v>
          </cell>
        </row>
        <row r="230">
          <cell r="A230">
            <v>2</v>
          </cell>
          <cell r="B230" t="str">
            <v>12" PVC, SDR 35, MH, excav &amp; backfill</v>
          </cell>
          <cell r="C230">
            <v>25.5</v>
          </cell>
        </row>
        <row r="231">
          <cell r="A231">
            <v>3</v>
          </cell>
          <cell r="B231" t="str">
            <v>10" concrete, nonreinforced, MH, excav &amp; backfill</v>
          </cell>
          <cell r="C231">
            <v>27</v>
          </cell>
        </row>
        <row r="232">
          <cell r="A232">
            <v>4</v>
          </cell>
          <cell r="B232" t="str">
            <v>12" concrete, nonreinforced, MH, excav &amp; backfill</v>
          </cell>
          <cell r="C232">
            <v>28</v>
          </cell>
        </row>
        <row r="233">
          <cell r="A233">
            <v>5</v>
          </cell>
          <cell r="B233" t="str">
            <v>10" vitrified clay, C-2000, MH, excav &amp; backfill</v>
          </cell>
          <cell r="C233">
            <v>29</v>
          </cell>
        </row>
        <row r="234">
          <cell r="A234">
            <v>6</v>
          </cell>
          <cell r="B234" t="str">
            <v>12" vitrified clay, C-2000, MH, excav &amp; backfill</v>
          </cell>
          <cell r="C234">
            <v>32.5</v>
          </cell>
        </row>
        <row r="235">
          <cell r="A235" t="str">
            <v>c_Heating, Cooling &amp; Gas Distribution System (per LF)</v>
          </cell>
        </row>
        <row r="236">
          <cell r="A236">
            <v>1</v>
          </cell>
          <cell r="B236" t="str">
            <v>No piping distribution system required</v>
          </cell>
          <cell r="C236">
            <v>0</v>
          </cell>
        </row>
        <row r="237">
          <cell r="A237">
            <v>2</v>
          </cell>
          <cell r="B237" t="str">
            <v>2" Polyethylene, SDR 11, excav &amp; backfill</v>
          </cell>
          <cell r="C237">
            <v>15.75</v>
          </cell>
        </row>
        <row r="238">
          <cell r="A238">
            <v>3</v>
          </cell>
          <cell r="B238" t="str">
            <v>4" Polyethylene, SDR 11, excav &amp; backfill</v>
          </cell>
          <cell r="C238">
            <v>19.75</v>
          </cell>
        </row>
        <row r="239">
          <cell r="A239">
            <v>4</v>
          </cell>
          <cell r="B239" t="str">
            <v>6" Polyethylene, SDR 21, excav &amp; backfill</v>
          </cell>
          <cell r="C239">
            <v>20.4</v>
          </cell>
        </row>
        <row r="240">
          <cell r="A240">
            <v>5</v>
          </cell>
          <cell r="B240" t="str">
            <v>2" steel,sch 40,plain end,tar &amp; wrap, excav &amp; backfill</v>
          </cell>
          <cell r="C240">
            <v>20.8</v>
          </cell>
        </row>
        <row r="241">
          <cell r="A241">
            <v>6</v>
          </cell>
          <cell r="B241" t="str">
            <v>4" steel,sch 40,plain end,tar &amp; wrap, excav &amp; backfill</v>
          </cell>
          <cell r="C241">
            <v>29.7</v>
          </cell>
        </row>
        <row r="242">
          <cell r="A242">
            <v>7</v>
          </cell>
          <cell r="B242" t="str">
            <v>20" steel,sch 40,plain end,tar &amp; wrap, excav &amp; backfill</v>
          </cell>
          <cell r="C242">
            <v>300</v>
          </cell>
        </row>
        <row r="243">
          <cell r="A243" t="str">
            <v>c_Electric Distribution System (per LF)</v>
          </cell>
        </row>
        <row r="244">
          <cell r="A244">
            <v>1</v>
          </cell>
          <cell r="B244" t="str">
            <v>Overhead, 5KV, 250 MCM, copper high voltage cable</v>
          </cell>
          <cell r="C244">
            <v>38.55</v>
          </cell>
        </row>
        <row r="245">
          <cell r="A245">
            <v>2</v>
          </cell>
          <cell r="B245" t="str">
            <v>Overhead, 15KV, 250 MCM, copper high voltage cable</v>
          </cell>
          <cell r="C245">
            <v>43.35</v>
          </cell>
        </row>
        <row r="246">
          <cell r="A246">
            <v>3</v>
          </cell>
          <cell r="B246" t="str">
            <v>Overhead, 25KV, 250 MCM, copper high voltage cable</v>
          </cell>
          <cell r="C246">
            <v>52</v>
          </cell>
        </row>
        <row r="247">
          <cell r="A247">
            <v>4</v>
          </cell>
          <cell r="B247" t="str">
            <v>Undergrd, 5KV, 250 MCM, copper,ductbk,excav &amp; backfill</v>
          </cell>
          <cell r="C247">
            <v>73.55</v>
          </cell>
        </row>
        <row r="248">
          <cell r="A248">
            <v>5</v>
          </cell>
          <cell r="B248" t="str">
            <v>Undergrd,15KV, 250 MCM, copper,ductbk,excav &amp; backfill</v>
          </cell>
          <cell r="C248">
            <v>78.35</v>
          </cell>
        </row>
        <row r="249">
          <cell r="A249">
            <v>6</v>
          </cell>
          <cell r="B249" t="str">
            <v>Undergrd,25KV, 250 MCM, copper,ductbk,excav &amp; backfill</v>
          </cell>
          <cell r="C249">
            <v>87</v>
          </cell>
        </row>
        <row r="250">
          <cell r="A250" t="str">
            <v>c_Telephone Distribution System (per LF)</v>
          </cell>
        </row>
        <row r="251">
          <cell r="A251">
            <v>1</v>
          </cell>
          <cell r="B251" t="str">
            <v>Overhead, Telephone cable, incl poles</v>
          </cell>
          <cell r="C251">
            <v>90</v>
          </cell>
        </row>
        <row r="252">
          <cell r="A252">
            <v>2</v>
          </cell>
          <cell r="B252" t="str">
            <v>Underground, Telephone cable, ductbank, excav &amp; backfill</v>
          </cell>
          <cell r="C252">
            <v>165</v>
          </cell>
        </row>
        <row r="253">
          <cell r="A253" t="str">
            <v>c_Site Lighting System (per SF)</v>
          </cell>
          <cell r="D253" t="str">
            <v>watts/sf</v>
          </cell>
        </row>
        <row r="254">
          <cell r="A254">
            <v>1</v>
          </cell>
          <cell r="B254" t="str">
            <v>5 fc,20' high,metal halide 1000 w fix, incl poles</v>
          </cell>
          <cell r="C254">
            <v>0.54</v>
          </cell>
          <cell r="D254">
            <v>0.24</v>
          </cell>
        </row>
        <row r="255">
          <cell r="A255">
            <v>2</v>
          </cell>
          <cell r="B255" t="str">
            <v>5 fc,20' high,hig press sod 400 w fix, incl poles</v>
          </cell>
          <cell r="C255">
            <v>0.58</v>
          </cell>
          <cell r="D255">
            <v>0.17</v>
          </cell>
        </row>
        <row r="256">
          <cell r="A256">
            <v>3</v>
          </cell>
          <cell r="B256" t="str">
            <v>5 fc,20' high,mercury vapor 1000 w fix, incl poles</v>
          </cell>
          <cell r="C256">
            <v>0.65</v>
          </cell>
          <cell r="D256">
            <v>0.3</v>
          </cell>
        </row>
        <row r="257">
          <cell r="A257">
            <v>4</v>
          </cell>
          <cell r="B257" t="str">
            <v>10 fc,20' high,metal halide 1000 w fix, incl poles</v>
          </cell>
          <cell r="C257">
            <v>0.88</v>
          </cell>
          <cell r="D257">
            <v>0.48</v>
          </cell>
        </row>
        <row r="258">
          <cell r="A258">
            <v>5</v>
          </cell>
          <cell r="B258" t="str">
            <v>10 fc,20' high,hig press sod 400 w fix, incl poles</v>
          </cell>
          <cell r="C258">
            <v>0.95</v>
          </cell>
          <cell r="D258">
            <v>0.34</v>
          </cell>
        </row>
        <row r="259">
          <cell r="A259">
            <v>6</v>
          </cell>
          <cell r="B259" t="str">
            <v>10 fc,20' high,mercury vapor 1000 w fix, incl poles</v>
          </cell>
          <cell r="C259">
            <v>1.1</v>
          </cell>
          <cell r="D259">
            <v>0.6</v>
          </cell>
        </row>
        <row r="260">
          <cell r="A260" t="str">
            <v>c_GenConditions</v>
          </cell>
        </row>
        <row r="261">
          <cell r="A261">
            <v>1</v>
          </cell>
          <cell r="B261" t="str">
            <v> Competitive market, good site access, CM involved</v>
          </cell>
          <cell r="C261">
            <v>0.05</v>
          </cell>
        </row>
        <row r="262">
          <cell r="A262">
            <v>2</v>
          </cell>
          <cell r="B262" t="str">
            <v> Average market, reasonable site access</v>
          </cell>
          <cell r="C262">
            <v>0.1</v>
          </cell>
        </row>
        <row r="263">
          <cell r="A263">
            <v>3</v>
          </cell>
          <cell r="B263" t="str">
            <v> Saturated market, poor site access</v>
          </cell>
          <cell r="C263">
            <v>0.11999999999999998</v>
          </cell>
        </row>
        <row r="264">
          <cell r="A264" t="str">
            <v>c_Escalation (annual percentage)</v>
          </cell>
        </row>
        <row r="265">
          <cell r="A265">
            <v>1</v>
          </cell>
          <cell r="B265" t="str">
            <v> Annual escalation rate</v>
          </cell>
          <cell r="C265">
            <v>0</v>
          </cell>
        </row>
        <row r="266">
          <cell r="A266">
            <v>2</v>
          </cell>
          <cell r="B266" t="str">
            <v> Annual escalation rate</v>
          </cell>
          <cell r="C266">
            <v>0.01</v>
          </cell>
        </row>
        <row r="267">
          <cell r="A267">
            <v>3</v>
          </cell>
          <cell r="B267" t="str">
            <v> Annual escalation rate</v>
          </cell>
          <cell r="C267">
            <v>0.02</v>
          </cell>
        </row>
        <row r="268">
          <cell r="A268">
            <v>4</v>
          </cell>
          <cell r="B268" t="str">
            <v> Annual escalation rate</v>
          </cell>
          <cell r="C268">
            <v>0.0265</v>
          </cell>
        </row>
        <row r="269">
          <cell r="A269">
            <v>5</v>
          </cell>
          <cell r="B269" t="str">
            <v> Annual escalation rate</v>
          </cell>
          <cell r="C269">
            <v>0.03</v>
          </cell>
        </row>
        <row r="270">
          <cell r="A270">
            <v>6</v>
          </cell>
          <cell r="B270" t="str">
            <v> Annual escalation rate</v>
          </cell>
          <cell r="C270">
            <v>0.04</v>
          </cell>
        </row>
        <row r="271">
          <cell r="A271" t="str">
            <v>c_Design Contingency</v>
          </cell>
        </row>
        <row r="272">
          <cell r="A272">
            <v>1</v>
          </cell>
          <cell r="B272" t="str">
            <v> No design contingency</v>
          </cell>
          <cell r="C272">
            <v>0</v>
          </cell>
        </row>
        <row r="273">
          <cell r="A273">
            <v>2</v>
          </cell>
          <cell r="B273" t="str">
            <v> Very low </v>
          </cell>
          <cell r="C273">
            <v>0.04</v>
          </cell>
        </row>
        <row r="274">
          <cell r="A274">
            <v>3</v>
          </cell>
          <cell r="B274" t="str">
            <v> Low </v>
          </cell>
          <cell r="C274">
            <v>0.06</v>
          </cell>
        </row>
        <row r="275">
          <cell r="A275">
            <v>4</v>
          </cell>
          <cell r="B275" t="str">
            <v> Moderately low </v>
          </cell>
          <cell r="C275">
            <v>0.08</v>
          </cell>
        </row>
        <row r="276">
          <cell r="A276">
            <v>5</v>
          </cell>
          <cell r="B276" t="str">
            <v> Moderate </v>
          </cell>
          <cell r="C276">
            <v>0.1</v>
          </cell>
        </row>
        <row r="277">
          <cell r="A277">
            <v>6</v>
          </cell>
          <cell r="B277" t="str">
            <v> Moderately extensive</v>
          </cell>
          <cell r="C277">
            <v>0.12000000000000001</v>
          </cell>
        </row>
        <row r="278">
          <cell r="A278">
            <v>7</v>
          </cell>
          <cell r="B278" t="str">
            <v> Highly extensive</v>
          </cell>
          <cell r="C278">
            <v>0.15</v>
          </cell>
        </row>
        <row r="279">
          <cell r="A279" t="str">
            <v>c_Design Fee</v>
          </cell>
        </row>
        <row r="280">
          <cell r="A280">
            <v>1</v>
          </cell>
          <cell r="B280" t="str">
            <v> Very low </v>
          </cell>
          <cell r="C280">
            <v>0.05</v>
          </cell>
        </row>
        <row r="281">
          <cell r="A281">
            <v>2</v>
          </cell>
          <cell r="B281" t="str">
            <v> Low </v>
          </cell>
          <cell r="C281">
            <v>0.06</v>
          </cell>
        </row>
        <row r="282">
          <cell r="A282">
            <v>3</v>
          </cell>
          <cell r="B282" t="str">
            <v> Moderately low </v>
          </cell>
          <cell r="C282">
            <v>0.07</v>
          </cell>
        </row>
        <row r="283">
          <cell r="A283">
            <v>4</v>
          </cell>
          <cell r="B283" t="str">
            <v> Moderate </v>
          </cell>
          <cell r="C283">
            <v>0.08</v>
          </cell>
        </row>
        <row r="284">
          <cell r="A284">
            <v>5</v>
          </cell>
          <cell r="B284" t="str">
            <v> Moderately extensive</v>
          </cell>
          <cell r="C284">
            <v>0.09</v>
          </cell>
        </row>
        <row r="285">
          <cell r="A285">
            <v>6</v>
          </cell>
          <cell r="B285" t="str">
            <v> Highly extensive</v>
          </cell>
          <cell r="C285">
            <v>0.1</v>
          </cell>
        </row>
        <row r="286">
          <cell r="A286" t="str">
            <v>c_Value Engineering Fee (Team = A,S,M,E,VETC)</v>
          </cell>
        </row>
        <row r="287">
          <cell r="A287">
            <v>1</v>
          </cell>
          <cell r="B287" t="str">
            <v> No VE team studies</v>
          </cell>
          <cell r="C287">
            <v>0</v>
          </cell>
        </row>
        <row r="288">
          <cell r="A288">
            <v>2</v>
          </cell>
          <cell r="B288" t="str">
            <v> One VE team study, programming phase</v>
          </cell>
          <cell r="C288">
            <v>0.001</v>
          </cell>
        </row>
        <row r="289">
          <cell r="A289">
            <v>3</v>
          </cell>
          <cell r="B289" t="str">
            <v> One study, concepts, schem,or develop phase</v>
          </cell>
          <cell r="C289">
            <v>0.0015</v>
          </cell>
        </row>
        <row r="290">
          <cell r="A290">
            <v>4</v>
          </cell>
          <cell r="B290" t="str">
            <v> Two VE studies, programming &amp; concepts phase</v>
          </cell>
          <cell r="C290">
            <v>0.002</v>
          </cell>
        </row>
        <row r="291">
          <cell r="A291">
            <v>5</v>
          </cell>
          <cell r="B291" t="str">
            <v> Two VE studies, concepts &amp; schematics phase</v>
          </cell>
          <cell r="C291">
            <v>0.0025</v>
          </cell>
        </row>
        <row r="292">
          <cell r="A292">
            <v>6</v>
          </cell>
          <cell r="B292" t="str">
            <v> Two studies, schematics &amp; develop phase</v>
          </cell>
          <cell r="C292">
            <v>0.003</v>
          </cell>
        </row>
        <row r="293">
          <cell r="A293">
            <v>7</v>
          </cell>
          <cell r="B293" t="str">
            <v> Three studies,program,concepts,schem phase</v>
          </cell>
          <cell r="C293">
            <v>0.0035</v>
          </cell>
        </row>
        <row r="294">
          <cell r="A294">
            <v>8</v>
          </cell>
          <cell r="B294" t="str">
            <v> Three studies,concepts,schem,develop phase</v>
          </cell>
          <cell r="C294">
            <v>0.004</v>
          </cell>
        </row>
        <row r="295">
          <cell r="A295">
            <v>9</v>
          </cell>
          <cell r="B295" t="str">
            <v> Four studies,prog,concepts,schem,develop phase</v>
          </cell>
          <cell r="C295">
            <v>0.0045000000000000005</v>
          </cell>
        </row>
        <row r="296">
          <cell r="A296" t="str">
            <v>c_Land Acquisition (per acre)</v>
          </cell>
        </row>
        <row r="297">
          <cell r="A297">
            <v>1</v>
          </cell>
          <cell r="B297" t="str">
            <v>Site A: poor soil conditions &amp; high water table</v>
          </cell>
          <cell r="C297">
            <v>0</v>
          </cell>
        </row>
        <row r="298">
          <cell r="A298">
            <v>2</v>
          </cell>
          <cell r="B298" t="str">
            <v>Site B: good soil conditions &amp; high water table</v>
          </cell>
          <cell r="C298">
            <v>0</v>
          </cell>
        </row>
        <row r="299">
          <cell r="A299">
            <v>3</v>
          </cell>
          <cell r="B299" t="str">
            <v>Site C: good soil conditions &amp; low water table</v>
          </cell>
          <cell r="C299">
            <v>0</v>
          </cell>
        </row>
        <row r="300">
          <cell r="A300" t="str">
            <v>c_Construction Contingency</v>
          </cell>
        </row>
        <row r="301">
          <cell r="A301">
            <v>1</v>
          </cell>
          <cell r="B301" t="str">
            <v> No construction contingency</v>
          </cell>
          <cell r="C301">
            <v>0</v>
          </cell>
        </row>
        <row r="302">
          <cell r="A302">
            <v>2</v>
          </cell>
          <cell r="B302" t="str">
            <v> Very low </v>
          </cell>
          <cell r="C302">
            <v>0.01</v>
          </cell>
        </row>
        <row r="303">
          <cell r="A303">
            <v>3</v>
          </cell>
          <cell r="B303" t="str">
            <v> Low </v>
          </cell>
          <cell r="C303">
            <v>0.02</v>
          </cell>
        </row>
        <row r="304">
          <cell r="A304">
            <v>4</v>
          </cell>
          <cell r="B304" t="str">
            <v> Moderately low </v>
          </cell>
          <cell r="C304">
            <v>0.03</v>
          </cell>
        </row>
        <row r="305">
          <cell r="A305">
            <v>5</v>
          </cell>
          <cell r="B305" t="str">
            <v> Moderate</v>
          </cell>
          <cell r="C305">
            <v>0.04</v>
          </cell>
        </row>
        <row r="306">
          <cell r="A306">
            <v>6</v>
          </cell>
          <cell r="B306" t="str">
            <v> Moderately high</v>
          </cell>
          <cell r="C306">
            <v>0.05</v>
          </cell>
        </row>
        <row r="307">
          <cell r="A307">
            <v>7</v>
          </cell>
          <cell r="B307" t="str">
            <v> High </v>
          </cell>
          <cell r="C307">
            <v>0.06</v>
          </cell>
        </row>
      </sheetData>
      <sheetData sheetId="13">
        <row r="1">
          <cell r="A1" t="str">
            <v>3. Function-Cost-Worth Analysis</v>
          </cell>
          <cell r="D1" t="str">
            <v>     Basic Function:</v>
          </cell>
          <cell r="F1" t="str">
            <v>Create Research Environment</v>
          </cell>
        </row>
        <row r="2">
          <cell r="A2" t="str">
            <v>-</v>
          </cell>
        </row>
        <row r="3">
          <cell r="C3" t="str">
            <v>SYSTEM FUNCTION(S)---------------------&gt;</v>
          </cell>
          <cell r="G3" t="str">
            <v> KIND*</v>
          </cell>
          <cell r="H3" t="str">
            <v>  GSF COSTS--------&gt;</v>
          </cell>
        </row>
        <row r="4">
          <cell r="C4" t="str">
            <v> Verb</v>
          </cell>
          <cell r="D4" t="str">
            <v> Noun</v>
          </cell>
          <cell r="G4" t="str">
            <v> A-U</v>
          </cell>
          <cell r="J4" t="str">
            <v> Cost/Worth</v>
          </cell>
          <cell r="K4" t="str">
            <v>Percent of</v>
          </cell>
        </row>
        <row r="5">
          <cell r="B5" t="str">
            <v>System Name</v>
          </cell>
          <cell r="C5" t="str">
            <v> Number</v>
          </cell>
          <cell r="D5" t="str">
            <v> Number</v>
          </cell>
          <cell r="E5" t="str">
            <v> Verb</v>
          </cell>
          <cell r="F5" t="str">
            <v>Noun</v>
          </cell>
          <cell r="G5" t="str">
            <v> B-RS-S</v>
          </cell>
          <cell r="H5" t="str">
            <v>  Cost</v>
          </cell>
          <cell r="I5" t="str">
            <v>  Worth</v>
          </cell>
          <cell r="J5" t="str">
            <v>  Ratio</v>
          </cell>
          <cell r="K5" t="str">
            <v>Total Cost</v>
          </cell>
        </row>
        <row r="6">
          <cell r="A6" t="str">
            <v>-</v>
          </cell>
          <cell r="B6" t="str">
            <v>-</v>
          </cell>
          <cell r="C6" t="str">
            <v>-</v>
          </cell>
          <cell r="D6" t="str">
            <v>-</v>
          </cell>
          <cell r="E6" t="str">
            <v>-</v>
          </cell>
          <cell r="F6" t="str">
            <v>-</v>
          </cell>
          <cell r="G6" t="str">
            <v>-</v>
          </cell>
          <cell r="H6" t="str">
            <v>-</v>
          </cell>
          <cell r="I6" t="str">
            <v>-</v>
          </cell>
          <cell r="J6" t="str">
            <v>-</v>
          </cell>
          <cell r="K6" t="str">
            <v>-</v>
          </cell>
        </row>
        <row r="7">
          <cell r="A7" t="str">
            <v>FOUNDATION</v>
          </cell>
        </row>
        <row r="8">
          <cell r="A8" t="str">
            <v>   011</v>
          </cell>
          <cell r="B8" t="str">
            <v>Stand. Foundations</v>
          </cell>
          <cell r="C8">
            <v>49</v>
          </cell>
          <cell r="D8">
            <v>25</v>
          </cell>
          <cell r="E8" t="str">
            <v>Support</v>
          </cell>
          <cell r="F8" t="str">
            <v>Load</v>
          </cell>
          <cell r="G8" t="str">
            <v>U/RS</v>
          </cell>
          <cell r="H8">
            <v>0</v>
          </cell>
          <cell r="I8">
            <v>0.5</v>
          </cell>
          <cell r="J8">
            <v>0</v>
          </cell>
          <cell r="K8">
            <v>0</v>
          </cell>
        </row>
        <row r="9">
          <cell r="A9" t="str">
            <v>   012</v>
          </cell>
          <cell r="B9" t="str">
            <v>Special Foundations</v>
          </cell>
          <cell r="C9">
            <v>49</v>
          </cell>
          <cell r="D9">
            <v>25</v>
          </cell>
          <cell r="E9" t="str">
            <v>Support</v>
          </cell>
          <cell r="F9" t="str">
            <v>Load</v>
          </cell>
          <cell r="G9" t="str">
            <v>U/RS</v>
          </cell>
          <cell r="H9">
            <v>0</v>
          </cell>
          <cell r="I9">
            <v>1</v>
          </cell>
          <cell r="J9">
            <v>0</v>
          </cell>
          <cell r="K9">
            <v>0</v>
          </cell>
        </row>
        <row r="10">
          <cell r="A10" t="str">
            <v>SUBSTRUCTURE</v>
          </cell>
        </row>
        <row r="11">
          <cell r="A11" t="str">
            <v>   021</v>
          </cell>
          <cell r="B11" t="str">
            <v>Slab on Grade</v>
          </cell>
          <cell r="C11">
            <v>20</v>
          </cell>
          <cell r="D11">
            <v>25</v>
          </cell>
          <cell r="E11" t="str">
            <v>Distribute</v>
          </cell>
          <cell r="F11" t="str">
            <v>Load</v>
          </cell>
          <cell r="G11" t="str">
            <v>U/RS</v>
          </cell>
          <cell r="H11">
            <v>0</v>
          </cell>
          <cell r="I11">
            <v>0.73</v>
          </cell>
          <cell r="J11">
            <v>0</v>
          </cell>
          <cell r="K11">
            <v>0</v>
          </cell>
        </row>
        <row r="12">
          <cell r="A12" t="str">
            <v>   022</v>
          </cell>
          <cell r="B12" t="str">
            <v>Basemt Excavation</v>
          </cell>
          <cell r="C12">
            <v>45</v>
          </cell>
          <cell r="D12">
            <v>11</v>
          </cell>
          <cell r="E12" t="str">
            <v>Remove</v>
          </cell>
          <cell r="F12" t="str">
            <v>Earth</v>
          </cell>
          <cell r="G12" t="str">
            <v>U/RS</v>
          </cell>
          <cell r="H12">
            <v>0</v>
          </cell>
          <cell r="I12">
            <v>2.59</v>
          </cell>
          <cell r="J12">
            <v>0</v>
          </cell>
          <cell r="K12">
            <v>0</v>
          </cell>
        </row>
        <row r="13">
          <cell r="A13" t="str">
            <v>   023</v>
          </cell>
          <cell r="B13" t="str">
            <v>Basemt Walls</v>
          </cell>
          <cell r="C13">
            <v>49</v>
          </cell>
          <cell r="D13">
            <v>11</v>
          </cell>
          <cell r="E13" t="str">
            <v>Support</v>
          </cell>
          <cell r="F13" t="str">
            <v>Earth</v>
          </cell>
          <cell r="G13" t="str">
            <v>U/RS</v>
          </cell>
          <cell r="H13">
            <v>0</v>
          </cell>
          <cell r="I13">
            <v>1.5</v>
          </cell>
          <cell r="J13">
            <v>0</v>
          </cell>
          <cell r="K13">
            <v>0</v>
          </cell>
        </row>
        <row r="14">
          <cell r="C14">
            <v>23</v>
          </cell>
          <cell r="D14">
            <v>42</v>
          </cell>
          <cell r="E14" t="str">
            <v>Enclose</v>
          </cell>
          <cell r="F14" t="str">
            <v>Space</v>
          </cell>
          <cell r="G14" t="str">
            <v>U/RS</v>
          </cell>
        </row>
        <row r="15">
          <cell r="A15" t="str">
            <v>SUPERSTRUCTURE</v>
          </cell>
        </row>
        <row r="16">
          <cell r="A16" t="str">
            <v>   031</v>
          </cell>
          <cell r="B16" t="str">
            <v>Floor Construct.</v>
          </cell>
          <cell r="C16">
            <v>49</v>
          </cell>
          <cell r="D16">
            <v>25</v>
          </cell>
          <cell r="E16" t="str">
            <v>Support</v>
          </cell>
          <cell r="F16" t="str">
            <v>Load</v>
          </cell>
          <cell r="G16" t="str">
            <v>U/RS</v>
          </cell>
          <cell r="H16">
            <v>24.869960097236827</v>
          </cell>
          <cell r="I16">
            <v>8.21</v>
          </cell>
          <cell r="J16">
            <v>3.029227782854668</v>
          </cell>
          <cell r="K16">
            <v>0.24706407343466094</v>
          </cell>
        </row>
        <row r="17">
          <cell r="C17">
            <v>20</v>
          </cell>
          <cell r="D17">
            <v>25</v>
          </cell>
          <cell r="E17" t="str">
            <v>Distribute</v>
          </cell>
          <cell r="F17" t="str">
            <v>Load</v>
          </cell>
          <cell r="G17" t="str">
            <v>U/RS</v>
          </cell>
        </row>
        <row r="18">
          <cell r="A18" t="str">
            <v>   032</v>
          </cell>
          <cell r="B18" t="str">
            <v>Roof Construct.</v>
          </cell>
          <cell r="C18">
            <v>49</v>
          </cell>
          <cell r="D18">
            <v>25</v>
          </cell>
          <cell r="E18" t="str">
            <v>Support</v>
          </cell>
          <cell r="F18" t="str">
            <v>Load</v>
          </cell>
          <cell r="G18" t="str">
            <v>U/RS</v>
          </cell>
          <cell r="H18">
            <v>6.498082030403908</v>
          </cell>
          <cell r="I18">
            <v>1.74</v>
          </cell>
          <cell r="J18">
            <v>3.7345299025309817</v>
          </cell>
          <cell r="K18">
            <v>0.06455348579841647</v>
          </cell>
        </row>
        <row r="19">
          <cell r="C19">
            <v>20</v>
          </cell>
          <cell r="D19">
            <v>25</v>
          </cell>
          <cell r="E19" t="str">
            <v>Distribute</v>
          </cell>
          <cell r="F19" t="str">
            <v>Load</v>
          </cell>
          <cell r="G19" t="str">
            <v>U/RS</v>
          </cell>
        </row>
        <row r="20">
          <cell r="A20" t="str">
            <v>   033</v>
          </cell>
          <cell r="B20" t="str">
            <v>Stair Construct.</v>
          </cell>
          <cell r="C20">
            <v>49</v>
          </cell>
          <cell r="D20">
            <v>25</v>
          </cell>
          <cell r="E20" t="str">
            <v>Support</v>
          </cell>
          <cell r="F20" t="str">
            <v>Load</v>
          </cell>
          <cell r="G20" t="str">
            <v>U/RS</v>
          </cell>
          <cell r="H20">
            <v>1.3140821301331334</v>
          </cell>
          <cell r="I20">
            <v>0.8</v>
          </cell>
          <cell r="J20">
            <v>1.6426026626664165</v>
          </cell>
          <cell r="K20">
            <v>0.013054403088264693</v>
          </cell>
        </row>
        <row r="21">
          <cell r="C21">
            <v>12</v>
          </cell>
          <cell r="D21">
            <v>23</v>
          </cell>
          <cell r="E21" t="str">
            <v>Connect</v>
          </cell>
          <cell r="F21" t="str">
            <v>Levels</v>
          </cell>
          <cell r="G21" t="str">
            <v>U/RS</v>
          </cell>
        </row>
        <row r="22">
          <cell r="A22" t="str">
            <v>EXTERIOR CLOSURE</v>
          </cell>
        </row>
        <row r="23">
          <cell r="A23" t="str">
            <v>   041</v>
          </cell>
          <cell r="B23" t="str">
            <v>Exterior Walls</v>
          </cell>
          <cell r="C23">
            <v>23</v>
          </cell>
          <cell r="D23">
            <v>42</v>
          </cell>
          <cell r="E23" t="str">
            <v>Enclose</v>
          </cell>
          <cell r="F23" t="str">
            <v>Space</v>
          </cell>
          <cell r="G23" t="str">
            <v>U/B</v>
          </cell>
          <cell r="H23">
            <v>19.355908494280893</v>
          </cell>
          <cell r="I23">
            <v>5.5</v>
          </cell>
          <cell r="J23">
            <v>3.5192560898692533</v>
          </cell>
          <cell r="K23">
            <v>0.19228617894553487</v>
          </cell>
        </row>
        <row r="24">
          <cell r="C24">
            <v>27</v>
          </cell>
          <cell r="D24">
            <v>13</v>
          </cell>
          <cell r="E24" t="str">
            <v>Exclude</v>
          </cell>
          <cell r="F24" t="str">
            <v>Elements</v>
          </cell>
          <cell r="G24" t="str">
            <v>U/RS</v>
          </cell>
        </row>
        <row r="25">
          <cell r="C25">
            <v>26</v>
          </cell>
          <cell r="D25">
            <v>21</v>
          </cell>
          <cell r="E25" t="str">
            <v>Establish</v>
          </cell>
          <cell r="F25" t="str">
            <v>Image</v>
          </cell>
          <cell r="G25" t="str">
            <v>A/B</v>
          </cell>
        </row>
        <row r="26">
          <cell r="A26" t="str">
            <v>   042</v>
          </cell>
          <cell r="B26" t="str">
            <v>Ext Doors&amp;Windows</v>
          </cell>
          <cell r="C26">
            <v>42</v>
          </cell>
          <cell r="D26">
            <v>1</v>
          </cell>
          <cell r="E26" t="str">
            <v>Permit</v>
          </cell>
          <cell r="F26" t="str">
            <v>Access</v>
          </cell>
          <cell r="G26" t="str">
            <v>U/RS</v>
          </cell>
          <cell r="H26">
            <v>7.506319144946559</v>
          </cell>
          <cell r="I26">
            <v>1.76</v>
          </cell>
          <cell r="J26">
            <v>4.264954059628727</v>
          </cell>
          <cell r="K26">
            <v>0.07456955207005445</v>
          </cell>
        </row>
        <row r="27">
          <cell r="C27">
            <v>18</v>
          </cell>
          <cell r="D27">
            <v>49</v>
          </cell>
          <cell r="E27" t="str">
            <v>Create</v>
          </cell>
          <cell r="F27" t="str">
            <v>View</v>
          </cell>
          <cell r="G27" t="str">
            <v>A/B</v>
          </cell>
        </row>
        <row r="28">
          <cell r="C28">
            <v>27</v>
          </cell>
          <cell r="D28">
            <v>13</v>
          </cell>
          <cell r="E28" t="str">
            <v>Exclude</v>
          </cell>
          <cell r="F28" t="str">
            <v>Elements</v>
          </cell>
          <cell r="G28" t="str">
            <v>U/RS</v>
          </cell>
        </row>
        <row r="29">
          <cell r="C29">
            <v>50</v>
          </cell>
          <cell r="D29">
            <v>24</v>
          </cell>
          <cell r="E29" t="str">
            <v>Transmit</v>
          </cell>
          <cell r="F29" t="str">
            <v>Light</v>
          </cell>
          <cell r="G29" t="str">
            <v>U/B</v>
          </cell>
        </row>
        <row r="30">
          <cell r="A30" t="str">
            <v>ROOFING</v>
          </cell>
        </row>
        <row r="31">
          <cell r="A31" t="str">
            <v>   050</v>
          </cell>
          <cell r="B31" t="str">
            <v>Roofing</v>
          </cell>
          <cell r="C31">
            <v>27</v>
          </cell>
          <cell r="D31">
            <v>13</v>
          </cell>
          <cell r="E31" t="str">
            <v>Exclude</v>
          </cell>
          <cell r="F31" t="str">
            <v>Elements</v>
          </cell>
          <cell r="G31" t="str">
            <v>U/RS</v>
          </cell>
          <cell r="H31">
            <v>1.8482412556087788</v>
          </cell>
          <cell r="I31">
            <v>2.09</v>
          </cell>
          <cell r="J31">
            <v>0.8843259596214254</v>
          </cell>
          <cell r="K31">
            <v>0.018360866342983458</v>
          </cell>
        </row>
        <row r="32">
          <cell r="C32">
            <v>23</v>
          </cell>
          <cell r="D32">
            <v>42</v>
          </cell>
          <cell r="E32" t="str">
            <v>Enclose</v>
          </cell>
          <cell r="F32" t="str">
            <v>Space</v>
          </cell>
          <cell r="G32" t="str">
            <v>U/B</v>
          </cell>
        </row>
        <row r="34">
          <cell r="A34" t="str">
            <v>INTERIOR CONSTRUCTION</v>
          </cell>
        </row>
        <row r="35">
          <cell r="A35" t="str">
            <v>   061</v>
          </cell>
          <cell r="B35" t="str">
            <v>Partitions</v>
          </cell>
          <cell r="C35">
            <v>21</v>
          </cell>
          <cell r="D35">
            <v>42</v>
          </cell>
          <cell r="E35" t="str">
            <v>Divide</v>
          </cell>
          <cell r="F35" t="str">
            <v>Space</v>
          </cell>
          <cell r="G35" t="str">
            <v>U/RS</v>
          </cell>
          <cell r="H35">
            <v>6.9445823101443835</v>
          </cell>
          <cell r="I35">
            <v>7.52</v>
          </cell>
          <cell r="J35">
            <v>0.9234816901787745</v>
          </cell>
          <cell r="K35">
            <v>0.06898912531979447</v>
          </cell>
        </row>
        <row r="36">
          <cell r="C36">
            <v>42</v>
          </cell>
          <cell r="D36">
            <v>35</v>
          </cell>
          <cell r="E36" t="str">
            <v>Permit</v>
          </cell>
          <cell r="F36" t="str">
            <v>Privacy</v>
          </cell>
          <cell r="G36" t="str">
            <v>U/RS</v>
          </cell>
        </row>
        <row r="37">
          <cell r="A37" t="str">
            <v>   062</v>
          </cell>
          <cell r="B37" t="str">
            <v>Inter. Finishes</v>
          </cell>
          <cell r="C37">
            <v>30</v>
          </cell>
          <cell r="D37">
            <v>42</v>
          </cell>
          <cell r="E37" t="str">
            <v>Finish</v>
          </cell>
          <cell r="F37" t="str">
            <v>Space</v>
          </cell>
          <cell r="G37" t="str">
            <v>U/RS</v>
          </cell>
          <cell r="H37">
            <v>15.5765035552222</v>
          </cell>
          <cell r="I37">
            <v>7.12</v>
          </cell>
          <cell r="J37">
            <v>2.1877111734862638</v>
          </cell>
          <cell r="K37">
            <v>0.15474067522328877</v>
          </cell>
        </row>
        <row r="38">
          <cell r="C38">
            <v>24</v>
          </cell>
          <cell r="D38">
            <v>21</v>
          </cell>
          <cell r="E38" t="str">
            <v>Enhance</v>
          </cell>
          <cell r="F38" t="str">
            <v>Image</v>
          </cell>
          <cell r="G38" t="str">
            <v>A/B</v>
          </cell>
        </row>
        <row r="39">
          <cell r="A39" t="str">
            <v>   063</v>
          </cell>
          <cell r="B39" t="str">
            <v>Specialties</v>
          </cell>
          <cell r="C39">
            <v>31</v>
          </cell>
          <cell r="D39">
            <v>42</v>
          </cell>
          <cell r="E39" t="str">
            <v>Fitout</v>
          </cell>
          <cell r="F39" t="str">
            <v>Space</v>
          </cell>
          <cell r="G39" t="str">
            <v>U/B</v>
          </cell>
          <cell r="H39">
            <v>1.32</v>
          </cell>
          <cell r="I39">
            <v>1.1</v>
          </cell>
          <cell r="J39">
            <v>1.2</v>
          </cell>
          <cell r="K39">
            <v>0.013113192609021777</v>
          </cell>
        </row>
        <row r="40">
          <cell r="A40" t="str">
            <v>CONVEYING SYSTEM</v>
          </cell>
        </row>
        <row r="41">
          <cell r="A41" t="str">
            <v>   071</v>
          </cell>
          <cell r="B41" t="str">
            <v>Elevators</v>
          </cell>
          <cell r="C41">
            <v>12</v>
          </cell>
          <cell r="D41">
            <v>23</v>
          </cell>
          <cell r="E41" t="str">
            <v>Connect</v>
          </cell>
          <cell r="F41" t="str">
            <v>Levels</v>
          </cell>
          <cell r="G41" t="str">
            <v>U/RS</v>
          </cell>
          <cell r="H41">
            <v>0</v>
          </cell>
          <cell r="I41">
            <v>0.58</v>
          </cell>
          <cell r="J41">
            <v>0</v>
          </cell>
          <cell r="K41">
            <v>0</v>
          </cell>
        </row>
        <row r="42">
          <cell r="C42">
            <v>51</v>
          </cell>
          <cell r="D42">
            <v>28</v>
          </cell>
          <cell r="E42" t="str">
            <v>Transport</v>
          </cell>
          <cell r="F42" t="str">
            <v>Objects</v>
          </cell>
          <cell r="G42" t="str">
            <v>U/RS</v>
          </cell>
        </row>
        <row r="43">
          <cell r="A43" t="str">
            <v>MECHANICAL</v>
          </cell>
        </row>
        <row r="44">
          <cell r="A44" t="str">
            <v>   081</v>
          </cell>
          <cell r="B44" t="str">
            <v>Plumbing</v>
          </cell>
          <cell r="C44">
            <v>16</v>
          </cell>
          <cell r="D44">
            <v>17</v>
          </cell>
          <cell r="E44" t="str">
            <v>Convey</v>
          </cell>
          <cell r="F44" t="str">
            <v>Fluids</v>
          </cell>
          <cell r="G44" t="str">
            <v>U/RS</v>
          </cell>
          <cell r="H44">
            <v>0</v>
          </cell>
          <cell r="I44">
            <v>1.11</v>
          </cell>
          <cell r="J44">
            <v>0</v>
          </cell>
          <cell r="K44">
            <v>0</v>
          </cell>
        </row>
        <row r="45">
          <cell r="A45" t="str">
            <v>   082</v>
          </cell>
          <cell r="B45" t="str">
            <v>HVAC</v>
          </cell>
          <cell r="C45">
            <v>10</v>
          </cell>
          <cell r="D45">
            <v>42</v>
          </cell>
          <cell r="E45" t="str">
            <v>Condition</v>
          </cell>
          <cell r="F45" t="str">
            <v>Space</v>
          </cell>
          <cell r="G45" t="str">
            <v>U/B</v>
          </cell>
          <cell r="H45">
            <v>0</v>
          </cell>
          <cell r="I45">
            <v>12.89</v>
          </cell>
          <cell r="J45">
            <v>0</v>
          </cell>
          <cell r="K45">
            <v>0</v>
          </cell>
        </row>
        <row r="46">
          <cell r="C46">
            <v>6</v>
          </cell>
          <cell r="D46">
            <v>2</v>
          </cell>
          <cell r="E46" t="str">
            <v>Circulate</v>
          </cell>
          <cell r="F46" t="str">
            <v>Air</v>
          </cell>
          <cell r="G46" t="str">
            <v>U/RS</v>
          </cell>
        </row>
        <row r="47">
          <cell r="C47">
            <v>9</v>
          </cell>
          <cell r="D47">
            <v>32</v>
          </cell>
          <cell r="E47" t="str">
            <v>Comfort</v>
          </cell>
          <cell r="F47" t="str">
            <v>People</v>
          </cell>
          <cell r="G47" t="str">
            <v>U/B</v>
          </cell>
        </row>
        <row r="48">
          <cell r="A48" t="str">
            <v>   083</v>
          </cell>
          <cell r="B48" t="str">
            <v>Fire Protection</v>
          </cell>
          <cell r="C48">
            <v>28</v>
          </cell>
          <cell r="D48">
            <v>15</v>
          </cell>
          <cell r="E48" t="str">
            <v>Extinguish</v>
          </cell>
          <cell r="F48" t="str">
            <v>Fire</v>
          </cell>
          <cell r="G48" t="str">
            <v>U/RS</v>
          </cell>
          <cell r="H48">
            <v>0</v>
          </cell>
          <cell r="I48">
            <v>1.9</v>
          </cell>
          <cell r="J48">
            <v>0</v>
          </cell>
          <cell r="K48">
            <v>0</v>
          </cell>
        </row>
        <row r="49">
          <cell r="A49" t="str">
            <v>   084</v>
          </cell>
          <cell r="B49" t="str">
            <v>Spec Mech Syst</v>
          </cell>
          <cell r="C49">
            <v>49</v>
          </cell>
          <cell r="D49">
            <v>27</v>
          </cell>
          <cell r="E49" t="str">
            <v>Support</v>
          </cell>
          <cell r="F49" t="str">
            <v>Mechanical</v>
          </cell>
          <cell r="G49" t="str">
            <v>U/RS</v>
          </cell>
          <cell r="H49">
            <v>0</v>
          </cell>
          <cell r="I49">
            <v>0.2</v>
          </cell>
          <cell r="J49">
            <v>0</v>
          </cell>
          <cell r="K49">
            <v>0</v>
          </cell>
        </row>
        <row r="50">
          <cell r="A50" t="str">
            <v>ELECTRICAL</v>
          </cell>
        </row>
        <row r="51">
          <cell r="A51" t="str">
            <v>   091</v>
          </cell>
          <cell r="B51" t="str">
            <v>Service &amp; Dist</v>
          </cell>
          <cell r="C51">
            <v>50</v>
          </cell>
          <cell r="D51">
            <v>33</v>
          </cell>
          <cell r="E51" t="str">
            <v>Transmit</v>
          </cell>
          <cell r="F51" t="str">
            <v>Power</v>
          </cell>
          <cell r="G51" t="str">
            <v>U/RS</v>
          </cell>
          <cell r="H51">
            <v>0</v>
          </cell>
          <cell r="I51">
            <v>3.4</v>
          </cell>
          <cell r="J51">
            <v>0</v>
          </cell>
          <cell r="K51">
            <v>0</v>
          </cell>
        </row>
        <row r="52">
          <cell r="A52" t="str">
            <v>   092</v>
          </cell>
          <cell r="B52" t="str">
            <v>Lighting &amp; Power</v>
          </cell>
          <cell r="C52">
            <v>34</v>
          </cell>
          <cell r="D52">
            <v>42</v>
          </cell>
          <cell r="E52" t="str">
            <v>Illuminate</v>
          </cell>
          <cell r="F52" t="str">
            <v>Space</v>
          </cell>
          <cell r="G52" t="str">
            <v>U/B</v>
          </cell>
          <cell r="H52">
            <v>0</v>
          </cell>
          <cell r="I52">
            <v>3.5</v>
          </cell>
          <cell r="J52">
            <v>0</v>
          </cell>
          <cell r="K52">
            <v>0</v>
          </cell>
        </row>
        <row r="53">
          <cell r="C53">
            <v>20</v>
          </cell>
          <cell r="D53">
            <v>33</v>
          </cell>
          <cell r="E53" t="str">
            <v>Distribute</v>
          </cell>
          <cell r="F53" t="str">
            <v>Power</v>
          </cell>
          <cell r="G53" t="str">
            <v>U/RS</v>
          </cell>
        </row>
        <row r="54">
          <cell r="A54" t="str">
            <v>   093</v>
          </cell>
          <cell r="B54" t="str">
            <v>Spec Elec Syst</v>
          </cell>
          <cell r="C54">
            <v>49</v>
          </cell>
          <cell r="D54">
            <v>12</v>
          </cell>
          <cell r="E54" t="str">
            <v>Support</v>
          </cell>
          <cell r="F54" t="str">
            <v>Electrical</v>
          </cell>
          <cell r="G54" t="str">
            <v>U/RS</v>
          </cell>
          <cell r="H54">
            <v>12.7405437839865</v>
          </cell>
          <cell r="I54">
            <v>2.13</v>
          </cell>
          <cell r="J54">
            <v>5.98147595492324</v>
          </cell>
          <cell r="K54">
            <v>0.1265675792296137</v>
          </cell>
        </row>
        <row r="55">
          <cell r="A55" t="str">
            <v>GENERAL CONDITIONS, OH&amp;P</v>
          </cell>
        </row>
        <row r="56">
          <cell r="A56" t="str">
            <v>   100</v>
          </cell>
          <cell r="B56" t="str">
            <v>Gen Cond, OH&amp;P</v>
          </cell>
          <cell r="C56">
            <v>40</v>
          </cell>
          <cell r="D56">
            <v>8</v>
          </cell>
          <cell r="E56" t="str">
            <v>Manage</v>
          </cell>
          <cell r="F56" t="str">
            <v>Construction</v>
          </cell>
          <cell r="G56" t="str">
            <v>U/RS</v>
          </cell>
          <cell r="H56">
            <v>0</v>
          </cell>
          <cell r="I56">
            <v>9.13</v>
          </cell>
          <cell r="J56">
            <v>0</v>
          </cell>
          <cell r="K56">
            <v>0</v>
          </cell>
        </row>
        <row r="57">
          <cell r="C57">
            <v>2</v>
          </cell>
          <cell r="D57">
            <v>36</v>
          </cell>
          <cell r="E57" t="str">
            <v>Achieve</v>
          </cell>
          <cell r="F57" t="str">
            <v>Profit</v>
          </cell>
          <cell r="G57" t="str">
            <v>U/RS</v>
          </cell>
        </row>
        <row r="58">
          <cell r="A58" t="str">
            <v>EQUIPMENT</v>
          </cell>
        </row>
        <row r="59">
          <cell r="A59" t="str">
            <v>   111</v>
          </cell>
          <cell r="B59" t="str">
            <v>Fix/Movable Equip</v>
          </cell>
          <cell r="C59">
            <v>25</v>
          </cell>
          <cell r="D59">
            <v>42</v>
          </cell>
          <cell r="E59" t="str">
            <v>Equip</v>
          </cell>
          <cell r="F59" t="str">
            <v>Space</v>
          </cell>
          <cell r="G59" t="str">
            <v>U/B</v>
          </cell>
          <cell r="H59">
            <v>0</v>
          </cell>
          <cell r="I59">
            <v>1.52</v>
          </cell>
          <cell r="J59">
            <v>0</v>
          </cell>
          <cell r="K59">
            <v>0</v>
          </cell>
        </row>
        <row r="60">
          <cell r="A60" t="str">
            <v>   112</v>
          </cell>
          <cell r="B60" t="str">
            <v>Furnishings</v>
          </cell>
          <cell r="C60">
            <v>32</v>
          </cell>
          <cell r="D60">
            <v>42</v>
          </cell>
          <cell r="E60" t="str">
            <v>Furnish</v>
          </cell>
          <cell r="F60" t="str">
            <v>Space</v>
          </cell>
          <cell r="G60" t="str">
            <v>U/B</v>
          </cell>
          <cell r="H60">
            <v>0.5</v>
          </cell>
          <cell r="I60">
            <v>1E-06</v>
          </cell>
          <cell r="J60">
            <v>500000</v>
          </cell>
          <cell r="K60">
            <v>0.0049671184125082484</v>
          </cell>
        </row>
        <row r="61">
          <cell r="A61" t="str">
            <v>   113</v>
          </cell>
          <cell r="B61" t="str">
            <v>Special Const</v>
          </cell>
          <cell r="C61">
            <v>13</v>
          </cell>
          <cell r="D61">
            <v>43</v>
          </cell>
          <cell r="E61" t="str">
            <v>Construct</v>
          </cell>
          <cell r="F61" t="str">
            <v>Special</v>
          </cell>
          <cell r="G61" t="str">
            <v>U/RS</v>
          </cell>
          <cell r="H61">
            <v>0</v>
          </cell>
          <cell r="I61">
            <v>1E-06</v>
          </cell>
          <cell r="J61">
            <v>0</v>
          </cell>
          <cell r="K61">
            <v>0</v>
          </cell>
        </row>
        <row r="62">
          <cell r="A62" t="str">
            <v>SITEWORK</v>
          </cell>
        </row>
        <row r="63">
          <cell r="A63" t="str">
            <v>   121</v>
          </cell>
          <cell r="B63" t="str">
            <v>Site Preparation</v>
          </cell>
          <cell r="C63">
            <v>7</v>
          </cell>
          <cell r="D63">
            <v>40</v>
          </cell>
          <cell r="E63" t="str">
            <v>Clear</v>
          </cell>
          <cell r="F63" t="str">
            <v>Site</v>
          </cell>
          <cell r="G63" t="str">
            <v>U/RS</v>
          </cell>
          <cell r="H63">
            <v>0.09375585974123382</v>
          </cell>
          <cell r="I63">
            <v>0.52</v>
          </cell>
          <cell r="J63">
            <v>0.1802997302716035</v>
          </cell>
          <cell r="K63">
            <v>0.0009313929144024466</v>
          </cell>
        </row>
        <row r="64">
          <cell r="A64" t="str">
            <v>   122</v>
          </cell>
          <cell r="B64" t="str">
            <v>Site Improvements</v>
          </cell>
          <cell r="C64">
            <v>24</v>
          </cell>
          <cell r="D64">
            <v>21</v>
          </cell>
          <cell r="E64" t="str">
            <v>Enhance</v>
          </cell>
          <cell r="F64" t="str">
            <v>Image</v>
          </cell>
          <cell r="G64" t="str">
            <v>A/B</v>
          </cell>
          <cell r="H64">
            <v>1.8530748171760736</v>
          </cell>
          <cell r="I64">
            <v>0.8</v>
          </cell>
          <cell r="J64">
            <v>2.316343521470092</v>
          </cell>
          <cell r="K64">
            <v>0.018408884088301262</v>
          </cell>
        </row>
        <row r="65">
          <cell r="C65">
            <v>30</v>
          </cell>
          <cell r="D65">
            <v>40</v>
          </cell>
          <cell r="E65" t="str">
            <v>Finish</v>
          </cell>
          <cell r="F65" t="str">
            <v>Site</v>
          </cell>
          <cell r="G65" t="str">
            <v>U/RS</v>
          </cell>
        </row>
        <row r="66">
          <cell r="C66">
            <v>48</v>
          </cell>
          <cell r="D66">
            <v>5</v>
          </cell>
          <cell r="E66" t="str">
            <v>Store</v>
          </cell>
          <cell r="F66" t="str">
            <v>Cars</v>
          </cell>
          <cell r="G66" t="str">
            <v>U/RS</v>
          </cell>
        </row>
        <row r="67">
          <cell r="C67">
            <v>12</v>
          </cell>
          <cell r="D67">
            <v>42</v>
          </cell>
          <cell r="E67" t="str">
            <v>Connect</v>
          </cell>
          <cell r="F67" t="str">
            <v>Space</v>
          </cell>
          <cell r="G67" t="str">
            <v>U/RS</v>
          </cell>
        </row>
        <row r="68">
          <cell r="A68" t="str">
            <v>   123</v>
          </cell>
          <cell r="B68" t="str">
            <v>Site Utilities</v>
          </cell>
          <cell r="C68">
            <v>16</v>
          </cell>
          <cell r="D68">
            <v>17</v>
          </cell>
          <cell r="E68" t="str">
            <v>Convey</v>
          </cell>
          <cell r="F68" t="str">
            <v>Fluids</v>
          </cell>
          <cell r="G68" t="str">
            <v>U/RS</v>
          </cell>
          <cell r="H68">
            <v>0.2409316956413913</v>
          </cell>
          <cell r="I68">
            <v>2.48</v>
          </cell>
          <cell r="J68">
            <v>0.09714987727475456</v>
          </cell>
          <cell r="K68">
            <v>0.002393472523154376</v>
          </cell>
        </row>
        <row r="69">
          <cell r="C69">
            <v>16</v>
          </cell>
          <cell r="D69">
            <v>33</v>
          </cell>
          <cell r="E69" t="str">
            <v>Convey</v>
          </cell>
          <cell r="F69" t="str">
            <v>Power</v>
          </cell>
          <cell r="G69" t="str">
            <v>U/RS</v>
          </cell>
        </row>
        <row r="70">
          <cell r="C70">
            <v>16</v>
          </cell>
          <cell r="D70">
            <v>6</v>
          </cell>
          <cell r="E70" t="str">
            <v>Convey</v>
          </cell>
          <cell r="F70" t="str">
            <v>Communication</v>
          </cell>
          <cell r="G70" t="str">
            <v>U/RS</v>
          </cell>
        </row>
        <row r="71">
          <cell r="A71" t="str">
            <v>   124</v>
          </cell>
          <cell r="B71" t="str">
            <v>Off Site</v>
          </cell>
          <cell r="C71">
            <v>49</v>
          </cell>
          <cell r="D71">
            <v>29</v>
          </cell>
          <cell r="E71" t="str">
            <v>Support</v>
          </cell>
          <cell r="F71" t="str">
            <v>Offsite</v>
          </cell>
          <cell r="G71" t="str">
            <v>U/RS</v>
          </cell>
          <cell r="H71">
            <v>0</v>
          </cell>
          <cell r="I71">
            <v>1E-05</v>
          </cell>
          <cell r="J71">
            <v>0</v>
          </cell>
          <cell r="K71">
            <v>0</v>
          </cell>
        </row>
        <row r="72">
          <cell r="A72" t="str">
            <v>-</v>
          </cell>
          <cell r="B72" t="str">
            <v>-</v>
          </cell>
          <cell r="C72" t="str">
            <v>-</v>
          </cell>
          <cell r="D72" t="str">
            <v>-</v>
          </cell>
          <cell r="E72" t="str">
            <v>-</v>
          </cell>
          <cell r="F72" t="str">
            <v>-</v>
          </cell>
          <cell r="G72" t="str">
            <v>-</v>
          </cell>
          <cell r="H72" t="str">
            <v>-</v>
          </cell>
          <cell r="I72" t="str">
            <v>-</v>
          </cell>
          <cell r="J72" t="str">
            <v>-</v>
          </cell>
          <cell r="K72" t="str">
            <v>-</v>
          </cell>
        </row>
        <row r="73">
          <cell r="A73" t="str">
            <v>TOTAL</v>
          </cell>
          <cell r="H73">
            <v>100.66198517452189</v>
          </cell>
          <cell r="I73">
            <v>82.32001199999998</v>
          </cell>
          <cell r="J73">
            <v>1.2228130527303849</v>
          </cell>
          <cell r="K73">
            <v>1</v>
          </cell>
        </row>
        <row r="75">
          <cell r="A75" t="str">
            <v>* Function Kind:</v>
          </cell>
        </row>
        <row r="76">
          <cell r="A76" t="str">
            <v>   A =</v>
          </cell>
          <cell r="B76" t="str">
            <v>Aesthetic</v>
          </cell>
        </row>
        <row r="77">
          <cell r="A77" t="str">
            <v>   U =</v>
          </cell>
          <cell r="B77" t="str">
            <v>Use</v>
          </cell>
        </row>
        <row r="78">
          <cell r="A78" t="str">
            <v>   B =</v>
          </cell>
          <cell r="B78" t="str">
            <v>Basic</v>
          </cell>
        </row>
        <row r="79">
          <cell r="A79" t="str">
            <v>  RS =</v>
          </cell>
          <cell r="B79" t="str">
            <v>Required Secondary</v>
          </cell>
        </row>
        <row r="80">
          <cell r="A80" t="str">
            <v>   S =</v>
          </cell>
          <cell r="B80" t="str">
            <v>Secondary</v>
          </cell>
        </row>
      </sheetData>
      <sheetData sheetId="18">
        <row r="6">
          <cell r="A6">
            <v>1</v>
          </cell>
          <cell r="B6" t="str">
            <v>Load 100K, soil capacity 3 KSF</v>
          </cell>
          <cell r="C6">
            <v>275</v>
          </cell>
        </row>
        <row r="7">
          <cell r="A7">
            <v>2</v>
          </cell>
          <cell r="B7" t="str">
            <v>Load 200K, soil capacity 3 KSF</v>
          </cell>
          <cell r="C7">
            <v>675</v>
          </cell>
        </row>
        <row r="8">
          <cell r="A8">
            <v>3</v>
          </cell>
          <cell r="B8" t="str">
            <v>Load 300K, soil capacity 3 KSF</v>
          </cell>
          <cell r="C8">
            <v>1165</v>
          </cell>
        </row>
        <row r="9">
          <cell r="A9">
            <v>4</v>
          </cell>
          <cell r="B9" t="str">
            <v>Load 400K, soil capacity 3 KSF</v>
          </cell>
          <cell r="C9">
            <v>1915</v>
          </cell>
        </row>
        <row r="10">
          <cell r="A10">
            <v>5</v>
          </cell>
          <cell r="B10" t="str">
            <v>Load 500K, soil capacity 3 KSF</v>
          </cell>
          <cell r="C10">
            <v>2600</v>
          </cell>
        </row>
        <row r="11">
          <cell r="A11">
            <v>6</v>
          </cell>
          <cell r="B11" t="str">
            <v>Load 600K, soil capacity 3 KSF</v>
          </cell>
          <cell r="C11">
            <v>3700</v>
          </cell>
        </row>
        <row r="12">
          <cell r="A12">
            <v>7</v>
          </cell>
          <cell r="B12" t="str">
            <v>Load 700K, soil capacity 3 KSF</v>
          </cell>
          <cell r="C12">
            <v>4300</v>
          </cell>
        </row>
        <row r="13">
          <cell r="A13">
            <v>8</v>
          </cell>
          <cell r="B13" t="str">
            <v>Load 800K, soil capacity 3 KSF</v>
          </cell>
          <cell r="C13">
            <v>5050</v>
          </cell>
        </row>
        <row r="14">
          <cell r="A14">
            <v>9</v>
          </cell>
          <cell r="B14" t="str">
            <v>Load 900K, soil capacity 3 KSF</v>
          </cell>
          <cell r="C14">
            <v>5750</v>
          </cell>
        </row>
        <row r="15">
          <cell r="A15">
            <v>10</v>
          </cell>
          <cell r="B15" t="str">
            <v>Load 1000K, soil capacity 3 KSF</v>
          </cell>
          <cell r="C15">
            <v>6450</v>
          </cell>
        </row>
        <row r="16">
          <cell r="A16">
            <v>11</v>
          </cell>
          <cell r="B16" t="str">
            <v>Load 1100K, soil capacity 3 KSF</v>
          </cell>
          <cell r="C16">
            <v>7150</v>
          </cell>
        </row>
        <row r="17">
          <cell r="A17">
            <v>12</v>
          </cell>
          <cell r="B17" t="str">
            <v>Load 1200K, soil capacity 3 KSF</v>
          </cell>
          <cell r="C17">
            <v>7865.000000000001</v>
          </cell>
        </row>
        <row r="18">
          <cell r="A18">
            <v>13</v>
          </cell>
          <cell r="B18" t="str">
            <v>Load 1300K, soil capacity 3 KSF</v>
          </cell>
          <cell r="C18">
            <v>8580</v>
          </cell>
        </row>
        <row r="19">
          <cell r="A19">
            <v>14</v>
          </cell>
          <cell r="B19" t="str">
            <v>Load 1400K, soil capacity 3 KSF</v>
          </cell>
          <cell r="C19">
            <v>9652.5</v>
          </cell>
        </row>
        <row r="20">
          <cell r="A20">
            <v>15</v>
          </cell>
          <cell r="B20" t="str">
            <v>Load 1500K, soil capacity 3 KSF</v>
          </cell>
          <cell r="C20">
            <v>10367.5</v>
          </cell>
        </row>
        <row r="21">
          <cell r="A21">
            <v>16</v>
          </cell>
          <cell r="B21" t="str">
            <v>Load 1600K, soil capacity 3 KSF</v>
          </cell>
          <cell r="C21">
            <v>11082.5</v>
          </cell>
        </row>
        <row r="22">
          <cell r="A22">
            <v>17</v>
          </cell>
          <cell r="B22" t="str">
            <v>Load 1700K, soil capacity 3 KSF</v>
          </cell>
          <cell r="C22">
            <v>11797.500000000002</v>
          </cell>
        </row>
        <row r="23">
          <cell r="A23">
            <v>18</v>
          </cell>
          <cell r="B23" t="str">
            <v>Load 1800K, soil capacity 3 KSF</v>
          </cell>
          <cell r="C23">
            <v>12512.5</v>
          </cell>
        </row>
        <row r="24">
          <cell r="A24">
            <v>19</v>
          </cell>
          <cell r="B24" t="str">
            <v>Load 2000K, soil capacity 3 KSF</v>
          </cell>
          <cell r="C24">
            <v>13227.5</v>
          </cell>
        </row>
        <row r="25">
          <cell r="A25">
            <v>20</v>
          </cell>
          <cell r="B25" t="str">
            <v>Load 2100K, soil capacity 3 KSF</v>
          </cell>
          <cell r="C25">
            <v>14300</v>
          </cell>
        </row>
        <row r="27">
          <cell r="A27">
            <v>1</v>
          </cell>
          <cell r="B27" t="str">
            <v>Load 100K, soil capacity 6 KSF</v>
          </cell>
          <cell r="C27">
            <v>180</v>
          </cell>
        </row>
        <row r="28">
          <cell r="A28">
            <v>2</v>
          </cell>
          <cell r="B28" t="str">
            <v>Load 200K, soil capacity 6 KSF</v>
          </cell>
          <cell r="C28">
            <v>370</v>
          </cell>
        </row>
        <row r="29">
          <cell r="A29">
            <v>3</v>
          </cell>
          <cell r="B29" t="str">
            <v>Load 300K, soil capacity 6 KSF</v>
          </cell>
          <cell r="C29">
            <v>655</v>
          </cell>
        </row>
        <row r="30">
          <cell r="A30">
            <v>4</v>
          </cell>
          <cell r="B30" t="str">
            <v>Load 400K, soil capacity 6 KSF</v>
          </cell>
          <cell r="C30">
            <v>940</v>
          </cell>
        </row>
        <row r="31">
          <cell r="A31">
            <v>5</v>
          </cell>
          <cell r="B31" t="str">
            <v>Load 500K, soil capacity 6 KSF</v>
          </cell>
          <cell r="C31">
            <v>1260</v>
          </cell>
        </row>
        <row r="32">
          <cell r="A32">
            <v>6</v>
          </cell>
          <cell r="B32" t="str">
            <v>Load 600K, soil capacity 6 KSF</v>
          </cell>
          <cell r="C32">
            <v>1665</v>
          </cell>
        </row>
        <row r="33">
          <cell r="A33">
            <v>7</v>
          </cell>
          <cell r="B33" t="str">
            <v>Load 700K, soil capacity 6 KSF</v>
          </cell>
          <cell r="C33">
            <v>2085</v>
          </cell>
        </row>
        <row r="34">
          <cell r="A34">
            <v>8</v>
          </cell>
          <cell r="B34" t="str">
            <v>Load 800K, soil capacity 6 KSF</v>
          </cell>
          <cell r="C34">
            <v>2300</v>
          </cell>
        </row>
        <row r="35">
          <cell r="A35">
            <v>9</v>
          </cell>
          <cell r="B35" t="str">
            <v>Load 900K, soil capacity 6 KSF</v>
          </cell>
          <cell r="C35">
            <v>2600</v>
          </cell>
        </row>
        <row r="36">
          <cell r="A36">
            <v>10</v>
          </cell>
          <cell r="B36" t="str">
            <v>Load 1000K, soil capacity 6 KSF</v>
          </cell>
          <cell r="C36">
            <v>3000</v>
          </cell>
        </row>
        <row r="37">
          <cell r="A37">
            <v>11</v>
          </cell>
          <cell r="B37" t="str">
            <v>Load 1100K, soil capacity 6 KSF</v>
          </cell>
          <cell r="C37">
            <v>3400</v>
          </cell>
        </row>
        <row r="38">
          <cell r="A38">
            <v>12</v>
          </cell>
          <cell r="B38" t="str">
            <v>Load 1200K, soil capacity 6 KSF</v>
          </cell>
          <cell r="C38">
            <v>3900</v>
          </cell>
        </row>
        <row r="39">
          <cell r="A39">
            <v>13</v>
          </cell>
          <cell r="B39" t="str">
            <v>Load 1300K, soil capacity 6 KSF</v>
          </cell>
          <cell r="C39">
            <v>4400</v>
          </cell>
        </row>
        <row r="40">
          <cell r="A40">
            <v>14</v>
          </cell>
          <cell r="B40" t="str">
            <v>Load 1400K, soil capacity 6 KSF</v>
          </cell>
          <cell r="C40">
            <v>5100</v>
          </cell>
        </row>
        <row r="41">
          <cell r="A41">
            <v>15</v>
          </cell>
          <cell r="B41" t="str">
            <v>Load 1500K, soil capacity 6 KSF</v>
          </cell>
          <cell r="C41">
            <v>6000</v>
          </cell>
        </row>
        <row r="42">
          <cell r="A42">
            <v>16</v>
          </cell>
          <cell r="B42" t="str">
            <v>Load 1600K, soil capacity 6 KSF</v>
          </cell>
          <cell r="C42">
            <v>6775</v>
          </cell>
        </row>
        <row r="43">
          <cell r="A43">
            <v>17</v>
          </cell>
          <cell r="B43" t="str">
            <v>Load 1700K, soil capacity 6 KSF</v>
          </cell>
          <cell r="C43">
            <v>7500</v>
          </cell>
        </row>
        <row r="44">
          <cell r="A44">
            <v>18</v>
          </cell>
          <cell r="B44" t="str">
            <v>Load 1800K, soil capacity 6 KSF</v>
          </cell>
          <cell r="C44">
            <v>8400</v>
          </cell>
        </row>
        <row r="45">
          <cell r="A45">
            <v>19</v>
          </cell>
          <cell r="B45" t="str">
            <v>Load 2000K, soil capacity 6 KSF</v>
          </cell>
          <cell r="C45">
            <v>9300</v>
          </cell>
        </row>
        <row r="46">
          <cell r="A46">
            <v>20</v>
          </cell>
          <cell r="B46" t="str">
            <v>Load 2100K, soil capacity 6 KSF</v>
          </cell>
          <cell r="C46">
            <v>10300</v>
          </cell>
        </row>
        <row r="48">
          <cell r="A48">
            <v>1</v>
          </cell>
          <cell r="B48" t="str">
            <v>Load 10.1 KLF soil capacity 3 KSF,48"wide x 12"</v>
          </cell>
          <cell r="C48">
            <v>21</v>
          </cell>
        </row>
        <row r="49">
          <cell r="A49">
            <v>2</v>
          </cell>
          <cell r="B49" t="str">
            <v>Load 11.1 KLF, soil capacity 6 KSF,24"wide x 12"</v>
          </cell>
          <cell r="C49">
            <v>17.5</v>
          </cell>
        </row>
        <row r="55">
          <cell r="A55">
            <v>1</v>
          </cell>
          <cell r="B55" t="str">
            <v>Basemt footing, for wall see 023</v>
          </cell>
          <cell r="C55">
            <v>0</v>
          </cell>
        </row>
        <row r="56">
          <cell r="A56">
            <v>2</v>
          </cell>
          <cell r="B56" t="str">
            <v>4ft conc wall,no basemt </v>
          </cell>
          <cell r="C56">
            <v>35</v>
          </cell>
        </row>
        <row r="57">
          <cell r="A57">
            <v>3</v>
          </cell>
          <cell r="B57" t="str">
            <v>8ft conc wall, no basemt</v>
          </cell>
          <cell r="C57">
            <v>69</v>
          </cell>
        </row>
        <row r="59">
          <cell r="A59">
            <v>1</v>
          </cell>
          <cell r="B59" t="str">
            <v>Basement wall, see 023</v>
          </cell>
          <cell r="C59">
            <v>0</v>
          </cell>
        </row>
        <row r="60">
          <cell r="A60">
            <v>2</v>
          </cell>
          <cell r="B60" t="str">
            <v>Bituminous, 1 coat, 4ft high</v>
          </cell>
          <cell r="C60">
            <v>2.27</v>
          </cell>
        </row>
        <row r="61">
          <cell r="A61">
            <v>3</v>
          </cell>
          <cell r="B61" t="str">
            <v>Bituminous, 1 coat, 8ft high</v>
          </cell>
          <cell r="C61">
            <v>4.55</v>
          </cell>
        </row>
        <row r="63">
          <cell r="A63">
            <v>1</v>
          </cell>
          <cell r="B63" t="str">
            <v>Basement wall, see 023</v>
          </cell>
          <cell r="C63">
            <v>0</v>
          </cell>
        </row>
        <row r="64">
          <cell r="A64">
            <v>2</v>
          </cell>
          <cell r="B64" t="str">
            <v>Outside only, PVC, 4in dia</v>
          </cell>
          <cell r="C64">
            <v>3.59</v>
          </cell>
        </row>
        <row r="65">
          <cell r="A65">
            <v>3</v>
          </cell>
          <cell r="B65" t="str">
            <v>Outside only, PVC, 6in dia</v>
          </cell>
          <cell r="C65">
            <v>4.55</v>
          </cell>
        </row>
        <row r="67">
          <cell r="A67">
            <v>1</v>
          </cell>
          <cell r="B67" t="str">
            <v>1,000sf, 4' sand&amp;gravel, on site</v>
          </cell>
          <cell r="C67">
            <v>1.12</v>
          </cell>
        </row>
        <row r="68">
          <cell r="A68">
            <v>2</v>
          </cell>
          <cell r="B68" t="str">
            <v>1,000sf, 8' sand&amp;gravel, on site</v>
          </cell>
          <cell r="C68">
            <v>2.66</v>
          </cell>
        </row>
        <row r="69">
          <cell r="A69">
            <v>3</v>
          </cell>
          <cell r="B69" t="str">
            <v>1,000sf, sand&amp;gravel, basemt wall see 023</v>
          </cell>
          <cell r="C69">
            <v>0</v>
          </cell>
        </row>
        <row r="70">
          <cell r="A70">
            <v>4</v>
          </cell>
          <cell r="B70" t="str">
            <v>4,000sf, 4' sand&amp;gravel, on site</v>
          </cell>
          <cell r="C70">
            <v>0.83</v>
          </cell>
        </row>
        <row r="71">
          <cell r="A71">
            <v>5</v>
          </cell>
          <cell r="B71" t="str">
            <v>4,000sf, 8' sand&amp;gravel, on site</v>
          </cell>
          <cell r="C71">
            <v>1.83</v>
          </cell>
        </row>
        <row r="72">
          <cell r="A72">
            <v>6</v>
          </cell>
          <cell r="B72" t="str">
            <v>4,000sf, sand&amp;gravel, basemt wall see 023</v>
          </cell>
          <cell r="C72">
            <v>0</v>
          </cell>
        </row>
        <row r="73">
          <cell r="A73">
            <v>7</v>
          </cell>
          <cell r="B73" t="str">
            <v>10,000sf, 4' sand&amp;gravel, on site</v>
          </cell>
          <cell r="C73">
            <v>0.73</v>
          </cell>
        </row>
        <row r="74">
          <cell r="A74">
            <v>8</v>
          </cell>
          <cell r="B74" t="str">
            <v>10,000sf, 8' sand&amp;gravel, on site</v>
          </cell>
          <cell r="C74">
            <v>1.56</v>
          </cell>
        </row>
        <row r="75">
          <cell r="A75">
            <v>9</v>
          </cell>
          <cell r="B75" t="str">
            <v>10,000sf, sand&amp;gravel, basemt wall see 023</v>
          </cell>
          <cell r="C75">
            <v>0</v>
          </cell>
        </row>
        <row r="87">
          <cell r="A87">
            <v>1</v>
          </cell>
          <cell r="B87" t="str">
            <v>4in thick, non-industrial, reinforced</v>
          </cell>
          <cell r="C87">
            <v>3.25</v>
          </cell>
        </row>
        <row r="88">
          <cell r="A88">
            <v>2</v>
          </cell>
          <cell r="B88" t="str">
            <v>Light industrial, reinforced</v>
          </cell>
          <cell r="C88">
            <v>3.75</v>
          </cell>
        </row>
        <row r="100">
          <cell r="A100">
            <v>1</v>
          </cell>
          <cell r="B100" t="str">
            <v>Steel joists on beam and wall (20 ft bay)</v>
          </cell>
          <cell r="C100">
            <v>7.910000000000001</v>
          </cell>
          <cell r="D100" t="str">
            <v>sf</v>
          </cell>
          <cell r="E100">
            <v>7</v>
          </cell>
          <cell r="F100" t="str">
            <v>@</v>
          </cell>
          <cell r="G100">
            <v>119</v>
          </cell>
        </row>
        <row r="101">
          <cell r="A101">
            <v>2</v>
          </cell>
          <cell r="B101" t="str">
            <v>Steel joists on beam and wall (25 ft bay)</v>
          </cell>
          <cell r="C101">
            <v>8.475000000000001</v>
          </cell>
          <cell r="D101" t="str">
            <v>sf</v>
          </cell>
          <cell r="E101">
            <v>7.5</v>
          </cell>
          <cell r="F101" t="str">
            <v>@</v>
          </cell>
          <cell r="G101">
            <v>120</v>
          </cell>
        </row>
        <row r="102">
          <cell r="A102">
            <v>3</v>
          </cell>
          <cell r="B102" t="str">
            <v>Steel joists on beam and wall (30 ft bay)</v>
          </cell>
          <cell r="C102">
            <v>9.040000000000001</v>
          </cell>
          <cell r="D102" t="str">
            <v>sf</v>
          </cell>
          <cell r="E102">
            <v>8</v>
          </cell>
          <cell r="F102" t="str">
            <v>@</v>
          </cell>
          <cell r="G102">
            <v>120</v>
          </cell>
        </row>
        <row r="104">
          <cell r="A104">
            <v>1</v>
          </cell>
          <cell r="B104" t="str">
            <v>Composite beam &amp; deck, lt wt slab (20 ft bay)</v>
          </cell>
          <cell r="C104">
            <v>10.735000000000001</v>
          </cell>
          <cell r="D104" t="str">
            <v>sf</v>
          </cell>
          <cell r="E104">
            <v>9.5</v>
          </cell>
          <cell r="F104" t="str">
            <v>@</v>
          </cell>
          <cell r="G104">
            <v>115</v>
          </cell>
        </row>
        <row r="105">
          <cell r="A105">
            <v>2</v>
          </cell>
          <cell r="B105" t="str">
            <v>Composite beam &amp; deck, lt wt slab (25 ft bay)</v>
          </cell>
          <cell r="C105">
            <v>11.187000000000001</v>
          </cell>
          <cell r="D105" t="str">
            <v>sf</v>
          </cell>
          <cell r="E105">
            <v>9.9</v>
          </cell>
          <cell r="F105" t="str">
            <v>@</v>
          </cell>
          <cell r="G105">
            <v>118</v>
          </cell>
        </row>
        <row r="106">
          <cell r="A106">
            <v>3</v>
          </cell>
          <cell r="B106" t="str">
            <v>Composite beam &amp; deck, lt wt slab (30 ft bay)</v>
          </cell>
          <cell r="C106">
            <v>11.639000000000001</v>
          </cell>
          <cell r="D106" t="str">
            <v>sf</v>
          </cell>
          <cell r="E106">
            <v>10.3</v>
          </cell>
          <cell r="F106" t="str">
            <v>@</v>
          </cell>
          <cell r="G106">
            <v>116</v>
          </cell>
        </row>
        <row r="108">
          <cell r="A108">
            <v>1</v>
          </cell>
          <cell r="B108" t="str">
            <v>Stl bms, composite deck, conc slab (20 ft bay)</v>
          </cell>
          <cell r="C108">
            <v>11.582500000000001</v>
          </cell>
          <cell r="D108" t="str">
            <v>sf</v>
          </cell>
          <cell r="E108">
            <v>10.25</v>
          </cell>
          <cell r="F108" t="str">
            <v>@</v>
          </cell>
          <cell r="G108">
            <v>126</v>
          </cell>
        </row>
        <row r="109">
          <cell r="A109">
            <v>2</v>
          </cell>
          <cell r="B109" t="str">
            <v>Stl bms, composite deck, conc slab (25 ft bay)</v>
          </cell>
          <cell r="C109">
            <v>12.995000000000001</v>
          </cell>
          <cell r="D109" t="str">
            <v>sf</v>
          </cell>
          <cell r="E109">
            <v>11.5</v>
          </cell>
          <cell r="F109" t="str">
            <v>@</v>
          </cell>
          <cell r="G109">
            <v>178</v>
          </cell>
        </row>
        <row r="110">
          <cell r="A110">
            <v>3</v>
          </cell>
          <cell r="B110" t="str">
            <v>Stl bms, composite deck, conc slab (30 ft bay)</v>
          </cell>
          <cell r="C110">
            <v>14.4075</v>
          </cell>
          <cell r="D110" t="str">
            <v>sf</v>
          </cell>
          <cell r="E110">
            <v>12.75</v>
          </cell>
          <cell r="F110" t="str">
            <v>@</v>
          </cell>
          <cell r="G110">
            <v>129</v>
          </cell>
        </row>
        <row r="112">
          <cell r="A112">
            <v>1</v>
          </cell>
          <cell r="B112" t="str">
            <v>Sprayed fiber, direct application-1 hour</v>
          </cell>
          <cell r="C112">
            <v>9.36</v>
          </cell>
        </row>
        <row r="113">
          <cell r="A113">
            <v>2</v>
          </cell>
          <cell r="B113" t="str">
            <v>Gypsum board-2 hours</v>
          </cell>
          <cell r="C113">
            <v>12.61</v>
          </cell>
        </row>
        <row r="114">
          <cell r="A114">
            <v>3</v>
          </cell>
          <cell r="B114" t="str">
            <v>Gypsum board-3 hours</v>
          </cell>
          <cell r="C114">
            <v>16.66</v>
          </cell>
        </row>
        <row r="116">
          <cell r="A116">
            <v>1</v>
          </cell>
          <cell r="B116" t="str">
            <v>Steel joists,mtl deck,fireproof(20 ft bay)</v>
          </cell>
          <cell r="C116">
            <v>14</v>
          </cell>
          <cell r="D116" t="str">
            <v>sf</v>
          </cell>
          <cell r="E116">
            <v>60</v>
          </cell>
        </row>
        <row r="117">
          <cell r="A117">
            <v>2</v>
          </cell>
          <cell r="B117" t="str">
            <v>Steel joists,mtl deck,fireproof(25 ft bay)</v>
          </cell>
          <cell r="C117">
            <v>14.25</v>
          </cell>
          <cell r="D117" t="str">
            <v>sf</v>
          </cell>
          <cell r="E117">
            <v>60</v>
          </cell>
        </row>
        <row r="118">
          <cell r="A118">
            <v>3</v>
          </cell>
          <cell r="B118" t="str">
            <v>Steel joists,mtl deck,fireproof(30 ft bay)</v>
          </cell>
          <cell r="C118">
            <v>22</v>
          </cell>
          <cell r="D118" t="str">
            <v>sf</v>
          </cell>
          <cell r="E118">
            <v>62</v>
          </cell>
        </row>
        <row r="120">
          <cell r="A120">
            <v>1</v>
          </cell>
          <cell r="B120" t="str">
            <v>Steel grate w/nosing, rails &amp; landing (12 risers)</v>
          </cell>
          <cell r="C120">
            <v>5120</v>
          </cell>
        </row>
        <row r="121">
          <cell r="A121">
            <v>2</v>
          </cell>
          <cell r="B121" t="str">
            <v>Steel grate w/nosing, rails &amp; landing (16 risers)</v>
          </cell>
          <cell r="C121">
            <v>6350</v>
          </cell>
        </row>
        <row r="122">
          <cell r="A122">
            <v>3</v>
          </cell>
          <cell r="B122" t="str">
            <v>Steel grate w/nosing, rails &amp; landing (20 risers)</v>
          </cell>
          <cell r="C122">
            <v>7530</v>
          </cell>
        </row>
        <row r="123">
          <cell r="A123">
            <v>4</v>
          </cell>
          <cell r="B123" t="str">
            <v>Steel grate w/nosing, rails &amp; landing (24 risers)</v>
          </cell>
          <cell r="C123">
            <v>8720</v>
          </cell>
        </row>
        <row r="124">
          <cell r="A124">
            <v>5</v>
          </cell>
          <cell r="B124" t="str">
            <v>Steel grate w/nosing, rails &amp; landing (28 risers)</v>
          </cell>
          <cell r="C124">
            <v>9800</v>
          </cell>
        </row>
        <row r="125">
          <cell r="A125">
            <v>6</v>
          </cell>
          <cell r="B125" t="str">
            <v>Steel grate w/nosing, rails &amp; landing (32 risers)</v>
          </cell>
          <cell r="C125">
            <v>10900</v>
          </cell>
        </row>
        <row r="127">
          <cell r="A127">
            <v>1</v>
          </cell>
          <cell r="B127" t="str">
            <v>Cement fill, metal pan w/ landing (12 risers) </v>
          </cell>
          <cell r="C127">
            <v>6370</v>
          </cell>
        </row>
        <row r="128">
          <cell r="A128">
            <v>2</v>
          </cell>
          <cell r="B128" t="str">
            <v>Cement fill, metal pan w/ landing (16 risers) </v>
          </cell>
          <cell r="C128">
            <v>7830</v>
          </cell>
        </row>
        <row r="129">
          <cell r="A129">
            <v>3</v>
          </cell>
          <cell r="B129" t="str">
            <v>Cement fill, metal pan w/ landing (20 risers) </v>
          </cell>
          <cell r="C129">
            <v>9240</v>
          </cell>
        </row>
        <row r="130">
          <cell r="A130">
            <v>4</v>
          </cell>
          <cell r="B130" t="str">
            <v>Cement fill, metal pan w/ landing (24 risers) </v>
          </cell>
          <cell r="C130">
            <v>10700</v>
          </cell>
        </row>
        <row r="131">
          <cell r="A131">
            <v>5</v>
          </cell>
          <cell r="B131" t="str">
            <v>Cement fill, metal pan w/ landing (28 risers) </v>
          </cell>
          <cell r="C131">
            <v>11800</v>
          </cell>
        </row>
        <row r="132">
          <cell r="A132">
            <v>6</v>
          </cell>
          <cell r="B132" t="str">
            <v>Cement fill, metal pan w/ landing (32 risers) </v>
          </cell>
          <cell r="C132">
            <v>14080.000000000002</v>
          </cell>
        </row>
        <row r="134">
          <cell r="A134">
            <v>1</v>
          </cell>
          <cell r="B134" t="str">
            <v>Textured concrete masonry, 8" CMU backup</v>
          </cell>
          <cell r="C134">
            <v>18</v>
          </cell>
        </row>
        <row r="135">
          <cell r="A135">
            <v>2</v>
          </cell>
          <cell r="B135" t="str">
            <v>Standard brick, 8" CMU backup</v>
          </cell>
          <cell r="C135">
            <v>25</v>
          </cell>
        </row>
        <row r="136">
          <cell r="A136">
            <v>3</v>
          </cell>
          <cell r="B136" t="str">
            <v>Articulated masonry/stone, 8" CMU backup</v>
          </cell>
          <cell r="C136">
            <v>27</v>
          </cell>
        </row>
        <row r="137">
          <cell r="A137">
            <v>4</v>
          </cell>
          <cell r="B137" t="str">
            <v>2" Indiana limestone, 8" CMU backup</v>
          </cell>
          <cell r="C137">
            <v>32</v>
          </cell>
        </row>
        <row r="138">
          <cell r="A138">
            <v>5</v>
          </cell>
          <cell r="B138" t="str">
            <v>4" Precast conc., 4'x8', 8" CMU backup</v>
          </cell>
          <cell r="C138">
            <v>35.9</v>
          </cell>
        </row>
        <row r="139">
          <cell r="A139">
            <v>6</v>
          </cell>
          <cell r="B139" t="str">
            <v>Aluminum Curtainwall: 50% tint, 50% reflective</v>
          </cell>
          <cell r="C139">
            <v>40.75</v>
          </cell>
        </row>
        <row r="140">
          <cell r="A140">
            <v>7</v>
          </cell>
          <cell r="B140" t="str">
            <v>4"granite, 8" CMU backup</v>
          </cell>
          <cell r="C140">
            <v>45</v>
          </cell>
        </row>
        <row r="142">
          <cell r="A142">
            <v>1</v>
          </cell>
          <cell r="B142" t="str">
            <v>Hollow metal 18 ga., incl hdwre</v>
          </cell>
          <cell r="C142">
            <v>1124.5</v>
          </cell>
        </row>
        <row r="143">
          <cell r="A143">
            <v>2</v>
          </cell>
          <cell r="B143" t="str">
            <v>Alum &amp; glass, incl hdwre</v>
          </cell>
          <cell r="C143">
            <v>3359.5</v>
          </cell>
        </row>
        <row r="145">
          <cell r="A145">
            <v>1</v>
          </cell>
          <cell r="B145" t="str">
            <v>Alum., dbl hung, std glass</v>
          </cell>
          <cell r="C145">
            <v>750</v>
          </cell>
        </row>
        <row r="146">
          <cell r="A146">
            <v>2</v>
          </cell>
          <cell r="B146" t="str">
            <v>Alum, picture unit, insul glass</v>
          </cell>
          <cell r="C146">
            <v>875</v>
          </cell>
        </row>
        <row r="147">
          <cell r="A147">
            <v>3</v>
          </cell>
          <cell r="B147" t="str">
            <v>Alum, picture unit, insul glass, operable sash</v>
          </cell>
          <cell r="C147">
            <v>1000</v>
          </cell>
        </row>
        <row r="149">
          <cell r="A149">
            <v>1</v>
          </cell>
          <cell r="B149" t="str">
            <v>EDPM single ply roof,55 mil, fully adhered</v>
          </cell>
          <cell r="C149">
            <v>2.1</v>
          </cell>
        </row>
        <row r="150">
          <cell r="A150">
            <v>2</v>
          </cell>
          <cell r="B150" t="str">
            <v>4-ply glass fiber felt w/ gravel</v>
          </cell>
          <cell r="C150">
            <v>2.5</v>
          </cell>
        </row>
        <row r="151">
          <cell r="A151">
            <v>3</v>
          </cell>
          <cell r="B151" t="str">
            <v>Standing seam painted metal roof incl underlament</v>
          </cell>
          <cell r="C151">
            <v>7</v>
          </cell>
        </row>
        <row r="152">
          <cell r="A152">
            <v>4</v>
          </cell>
          <cell r="B152" t="str">
            <v>Standing seam copper metal roof incl underlament</v>
          </cell>
          <cell r="C152">
            <v>10</v>
          </cell>
        </row>
        <row r="154">
          <cell r="A154">
            <v>1</v>
          </cell>
          <cell r="B154" t="str">
            <v>1" mineral fiberboard-R2.78</v>
          </cell>
          <cell r="C154">
            <v>1.1</v>
          </cell>
        </row>
        <row r="155">
          <cell r="A155">
            <v>2</v>
          </cell>
          <cell r="B155" t="str">
            <v>2" polystyrene-R10</v>
          </cell>
          <cell r="C155">
            <v>1.6</v>
          </cell>
        </row>
        <row r="156">
          <cell r="A156">
            <v>3</v>
          </cell>
          <cell r="B156" t="str">
            <v>2.25"fiberglass-R8</v>
          </cell>
          <cell r="C156">
            <v>2</v>
          </cell>
        </row>
        <row r="158">
          <cell r="A158">
            <v>1</v>
          </cell>
          <cell r="B158" t="str">
            <v>Sheet metal, 20ga, galvanized</v>
          </cell>
          <cell r="C158">
            <v>13.5</v>
          </cell>
        </row>
        <row r="159">
          <cell r="A159">
            <v>2</v>
          </cell>
          <cell r="B159" t="str">
            <v>Alum, .05Ó, duranodic</v>
          </cell>
          <cell r="C159">
            <v>15.5</v>
          </cell>
        </row>
        <row r="160">
          <cell r="A160">
            <v>3</v>
          </cell>
          <cell r="B160" t="str">
            <v>Copper, 20oz</v>
          </cell>
          <cell r="C160">
            <v>16.15</v>
          </cell>
        </row>
        <row r="165">
          <cell r="A165">
            <v>1</v>
          </cell>
          <cell r="B165" t="str">
            <v>Gypsum board on metal studs</v>
          </cell>
          <cell r="C165">
            <v>3.25</v>
          </cell>
        </row>
        <row r="166">
          <cell r="A166">
            <v>2</v>
          </cell>
          <cell r="B166" t="str">
            <v>Shaftwall on metal studs</v>
          </cell>
          <cell r="C166">
            <v>4.9</v>
          </cell>
        </row>
        <row r="167">
          <cell r="A167">
            <v>3</v>
          </cell>
          <cell r="B167" t="str">
            <v>Concrete masonry units (6"-8"), grouted</v>
          </cell>
          <cell r="C167">
            <v>8.5</v>
          </cell>
        </row>
        <row r="168">
          <cell r="A168">
            <v>4</v>
          </cell>
          <cell r="B168" t="str">
            <v>Demountable partitions</v>
          </cell>
          <cell r="C168">
            <v>10</v>
          </cell>
        </row>
        <row r="169">
          <cell r="A169">
            <v>5</v>
          </cell>
          <cell r="B169" t="str">
            <v>Custom wood &amp; glass</v>
          </cell>
          <cell r="C169">
            <v>20</v>
          </cell>
        </row>
        <row r="170">
          <cell r="A170">
            <v>6</v>
          </cell>
        </row>
        <row r="172">
          <cell r="A172">
            <v>1</v>
          </cell>
          <cell r="B172" t="str">
            <v>No partition finish</v>
          </cell>
          <cell r="C172">
            <v>0</v>
          </cell>
        </row>
        <row r="173">
          <cell r="A173">
            <v>2</v>
          </cell>
          <cell r="B173" t="str">
            <v>Paint, primer + 2 coats </v>
          </cell>
          <cell r="C173">
            <v>0.44999999999999996</v>
          </cell>
        </row>
        <row r="174">
          <cell r="A174">
            <v>3</v>
          </cell>
          <cell r="B174" t="str">
            <v>Wall paper</v>
          </cell>
          <cell r="C174">
            <v>0.85</v>
          </cell>
        </row>
        <row r="175">
          <cell r="A175">
            <v>4</v>
          </cell>
          <cell r="B175" t="str">
            <v>Fabric vinyl wall covering</v>
          </cell>
          <cell r="C175">
            <v>2</v>
          </cell>
        </row>
        <row r="176">
          <cell r="A176">
            <v>5</v>
          </cell>
          <cell r="B176" t="str">
            <v>Ceramic tile,adhesive, 4"x4"</v>
          </cell>
          <cell r="C176">
            <v>7.5</v>
          </cell>
        </row>
        <row r="177">
          <cell r="A177">
            <v>6</v>
          </cell>
          <cell r="B177" t="str">
            <v>Prefinished oak plywd paneling</v>
          </cell>
          <cell r="C177">
            <v>12.9</v>
          </cell>
        </row>
        <row r="178">
          <cell r="A178">
            <v>7</v>
          </cell>
          <cell r="B178" t="str">
            <v>Prefin. walnut plywd paneling</v>
          </cell>
          <cell r="C178">
            <v>12</v>
          </cell>
        </row>
        <row r="180">
          <cell r="A180">
            <v>1</v>
          </cell>
          <cell r="B180" t="str">
            <v>Hollow core, oak 3x7, incl HM frame &amp; hdwre</v>
          </cell>
          <cell r="C180">
            <v>700</v>
          </cell>
        </row>
        <row r="181">
          <cell r="A181">
            <v>2</v>
          </cell>
          <cell r="B181" t="str">
            <v>Hollow metal, incl hdwre</v>
          </cell>
          <cell r="C181">
            <v>810</v>
          </cell>
        </row>
        <row r="182">
          <cell r="A182">
            <v>3</v>
          </cell>
          <cell r="B182" t="str">
            <v>Sld core, oak, HM FR, incl hdwr w/ 80% sidelighted</v>
          </cell>
          <cell r="C182">
            <v>1060</v>
          </cell>
        </row>
        <row r="184">
          <cell r="A184">
            <v>1</v>
          </cell>
          <cell r="B184" t="str">
            <v>Vinyl composition tile (VCT)</v>
          </cell>
          <cell r="C184">
            <v>1.8</v>
          </cell>
        </row>
        <row r="185">
          <cell r="A185">
            <v>2</v>
          </cell>
          <cell r="B185" t="str">
            <v>Resilient sheet vinyl</v>
          </cell>
          <cell r="C185">
            <v>2.25</v>
          </cell>
        </row>
        <row r="186">
          <cell r="A186">
            <v>3</v>
          </cell>
          <cell r="B186" t="str">
            <v>Carpet + padding</v>
          </cell>
          <cell r="C186">
            <v>3.5</v>
          </cell>
        </row>
        <row r="187">
          <cell r="A187">
            <v>4</v>
          </cell>
          <cell r="B187" t="str">
            <v>Oak flr, sanded and finished</v>
          </cell>
          <cell r="C187">
            <v>7.5</v>
          </cell>
        </row>
        <row r="188">
          <cell r="A188">
            <v>5</v>
          </cell>
          <cell r="B188" t="str">
            <v>Ceramic tile</v>
          </cell>
          <cell r="C188">
            <v>6.5</v>
          </cell>
        </row>
        <row r="189">
          <cell r="A189">
            <v>6</v>
          </cell>
          <cell r="B189" t="str">
            <v>Epoxy: troweled-on</v>
          </cell>
          <cell r="C189">
            <v>15</v>
          </cell>
        </row>
        <row r="190">
          <cell r="A190">
            <v>7</v>
          </cell>
          <cell r="B190" t="str">
            <v>18" steel raised floor, carpet tile</v>
          </cell>
          <cell r="C190">
            <v>15</v>
          </cell>
        </row>
        <row r="192">
          <cell r="A192">
            <v>1</v>
          </cell>
          <cell r="B192" t="str">
            <v>No ceiling</v>
          </cell>
          <cell r="C192">
            <v>0</v>
          </cell>
        </row>
        <row r="193">
          <cell r="A193">
            <v>2</v>
          </cell>
          <cell r="B193" t="str">
            <v>Epoxy ceiling finish</v>
          </cell>
          <cell r="C193">
            <v>1.1600000000000001</v>
          </cell>
        </row>
        <row r="194">
          <cell r="A194">
            <v>3</v>
          </cell>
          <cell r="B194" t="str">
            <v>Architectural acoustic tile, no sound insul</v>
          </cell>
          <cell r="C194">
            <v>2.5</v>
          </cell>
        </row>
        <row r="195">
          <cell r="A195">
            <v>4</v>
          </cell>
          <cell r="B195" t="str">
            <v>Drywall,painted,2 coats</v>
          </cell>
          <cell r="C195">
            <v>3</v>
          </cell>
        </row>
        <row r="196">
          <cell r="A196">
            <v>5</v>
          </cell>
          <cell r="B196" t="str">
            <v>Gypsum plaster,mtl lath,furring,paint</v>
          </cell>
          <cell r="C196">
            <v>3.25</v>
          </cell>
        </row>
        <row r="197">
          <cell r="A197">
            <v>6</v>
          </cell>
          <cell r="B197" t="str">
            <v>Architectural acoustic tile, sound insul</v>
          </cell>
          <cell r="C197">
            <v>3</v>
          </cell>
        </row>
        <row r="198">
          <cell r="A198">
            <v>7</v>
          </cell>
          <cell r="B198" t="str">
            <v>Stainless steel</v>
          </cell>
          <cell r="C198">
            <v>7.59</v>
          </cell>
        </row>
        <row r="204">
          <cell r="A204">
            <v>1</v>
          </cell>
          <cell r="B204" t="str">
            <v>1500lb passenger, hydraulic</v>
          </cell>
          <cell r="C204">
            <v>39400</v>
          </cell>
        </row>
        <row r="205">
          <cell r="A205">
            <v>2</v>
          </cell>
          <cell r="B205" t="str">
            <v>1500lb passenger, hydraulic</v>
          </cell>
          <cell r="C205">
            <v>81900</v>
          </cell>
        </row>
        <row r="206">
          <cell r="A206">
            <v>3</v>
          </cell>
          <cell r="B206" t="str">
            <v>2000lb passenger, hydraulic</v>
          </cell>
          <cell r="C206">
            <v>41500</v>
          </cell>
        </row>
        <row r="207">
          <cell r="A207">
            <v>4</v>
          </cell>
          <cell r="B207" t="str">
            <v>2000lb passenger, hydraulic</v>
          </cell>
          <cell r="C207">
            <v>84400</v>
          </cell>
        </row>
        <row r="208">
          <cell r="A208">
            <v>5</v>
          </cell>
          <cell r="B208" t="str">
            <v>3000lb passenger</v>
          </cell>
          <cell r="C208">
            <v>180000</v>
          </cell>
        </row>
        <row r="209">
          <cell r="A209">
            <v>6</v>
          </cell>
          <cell r="B209" t="str">
            <v>4000lb freight</v>
          </cell>
          <cell r="C209">
            <v>200000</v>
          </cell>
        </row>
        <row r="211">
          <cell r="A211">
            <v>1</v>
          </cell>
          <cell r="B211" t="str">
            <v>Economy plumbing fixtures</v>
          </cell>
          <cell r="C211">
            <v>1600</v>
          </cell>
        </row>
        <row r="212">
          <cell r="A212">
            <v>2</v>
          </cell>
          <cell r="B212" t="str">
            <v>Medium quality plumbing fixtures</v>
          </cell>
          <cell r="C212">
            <v>2000</v>
          </cell>
        </row>
        <row r="213">
          <cell r="A213">
            <v>3</v>
          </cell>
          <cell r="B213" t="str">
            <v>High quality plumbing fixtures</v>
          </cell>
          <cell r="C213">
            <v>2400</v>
          </cell>
        </row>
        <row r="215">
          <cell r="A215">
            <v>1</v>
          </cell>
          <cell r="B215" t="str">
            <v>4" wet standpipe</v>
          </cell>
          <cell r="C215">
            <v>2825</v>
          </cell>
        </row>
        <row r="216">
          <cell r="A216">
            <v>2</v>
          </cell>
          <cell r="B216" t="str">
            <v>4" wet standpipe, add'l floors</v>
          </cell>
          <cell r="C216">
            <v>820</v>
          </cell>
        </row>
        <row r="218">
          <cell r="A218">
            <v>1</v>
          </cell>
          <cell r="B218" t="str">
            <v>6" wet standpipe</v>
          </cell>
          <cell r="C218">
            <v>4700</v>
          </cell>
        </row>
        <row r="219">
          <cell r="A219">
            <v>2</v>
          </cell>
          <cell r="B219" t="str">
            <v>6" wet standpipe, add'l floors</v>
          </cell>
          <cell r="C219">
            <v>1370</v>
          </cell>
        </row>
        <row r="221">
          <cell r="A221">
            <v>1</v>
          </cell>
          <cell r="B221" t="str">
            <v>Cabinet assy</v>
          </cell>
          <cell r="C221">
            <v>620</v>
          </cell>
        </row>
        <row r="227">
          <cell r="A227">
            <v>1</v>
          </cell>
          <cell r="B227" t="str">
            <v>Rooftop heat/cool w/supply &amp; return diffuser</v>
          </cell>
          <cell r="C227">
            <v>2240</v>
          </cell>
        </row>
        <row r="261">
          <cell r="A261">
            <v>1</v>
          </cell>
          <cell r="B261" t="str">
            <v>40 footcandles, fluorescent, conduit, wire,recept</v>
          </cell>
          <cell r="C261">
            <v>3</v>
          </cell>
        </row>
        <row r="262">
          <cell r="A262">
            <v>2</v>
          </cell>
          <cell r="B262" t="str">
            <v>60 footcandles, fluorescent, conduit, wire,recept</v>
          </cell>
          <cell r="C262">
            <v>4</v>
          </cell>
        </row>
        <row r="263">
          <cell r="A263">
            <v>3</v>
          </cell>
          <cell r="B263" t="str">
            <v>Hospital lighting, conduit, wire, recepticals</v>
          </cell>
          <cell r="C263">
            <v>7</v>
          </cell>
        </row>
        <row r="265">
          <cell r="A265">
            <v>1</v>
          </cell>
          <cell r="B265" t="str">
            <v>No communication system</v>
          </cell>
          <cell r="C265">
            <v>0</v>
          </cell>
        </row>
        <row r="266">
          <cell r="A266">
            <v>2</v>
          </cell>
          <cell r="B266" t="str">
            <v>Fiber optic system (backbone System only)</v>
          </cell>
          <cell r="C266">
            <v>1</v>
          </cell>
        </row>
        <row r="267">
          <cell r="A267">
            <v>3</v>
          </cell>
          <cell r="B267" t="str">
            <v>Fiber optic system (backbone + workstation)</v>
          </cell>
          <cell r="C267">
            <v>4</v>
          </cell>
        </row>
        <row r="289">
          <cell r="A289">
            <v>1</v>
          </cell>
          <cell r="B289" t="str">
            <v>No attached furnishings</v>
          </cell>
          <cell r="C289">
            <v>0</v>
          </cell>
        </row>
        <row r="290">
          <cell r="A290">
            <v>2</v>
          </cell>
          <cell r="B290" t="str">
            <v>Average attached furnishings(window treatment,etc)</v>
          </cell>
          <cell r="C290">
            <v>0.5</v>
          </cell>
        </row>
        <row r="291">
          <cell r="A291">
            <v>3</v>
          </cell>
          <cell r="B291" t="str">
            <v>Extensive attached furnishings(window treatment,etc)</v>
          </cell>
          <cell r="C291">
            <v>2</v>
          </cell>
        </row>
        <row r="293">
          <cell r="A293">
            <v>1</v>
          </cell>
          <cell r="B293" t="str">
            <v>Moderate quality special purpose space</v>
          </cell>
          <cell r="C293">
            <v>100</v>
          </cell>
        </row>
        <row r="294">
          <cell r="A294">
            <v>2</v>
          </cell>
          <cell r="B294" t="str">
            <v>Average quality special purpose space</v>
          </cell>
          <cell r="C294">
            <v>200</v>
          </cell>
        </row>
        <row r="295">
          <cell r="A295">
            <v>3</v>
          </cell>
          <cell r="B295" t="str">
            <v>High quality special purpose exhibit space</v>
          </cell>
          <cell r="C295">
            <v>350</v>
          </cell>
        </row>
        <row r="297">
          <cell r="A297">
            <v>1</v>
          </cell>
          <cell r="B297" t="str">
            <v>Minimum clear and grub</v>
          </cell>
          <cell r="C297">
            <v>12500</v>
          </cell>
        </row>
        <row r="298">
          <cell r="A298">
            <v>2</v>
          </cell>
          <cell r="B298" t="str">
            <v>Average clear and grub, site dewatering</v>
          </cell>
          <cell r="C298">
            <v>13750</v>
          </cell>
        </row>
        <row r="299">
          <cell r="A299">
            <v>3</v>
          </cell>
          <cell r="B299" t="str">
            <v>Extensive clear and grub, demolition</v>
          </cell>
          <cell r="C299">
            <v>50000</v>
          </cell>
        </row>
        <row r="301">
          <cell r="A301">
            <v>1</v>
          </cell>
          <cell r="B301" t="str">
            <v>90 degree,3" bitum paving, 6" gravel base</v>
          </cell>
          <cell r="C301">
            <v>1200</v>
          </cell>
        </row>
        <row r="302">
          <cell r="A302">
            <v>2</v>
          </cell>
          <cell r="B302" t="str">
            <v>90 degree, 4" bitum paving, 8" gravel base</v>
          </cell>
          <cell r="C302">
            <v>1600</v>
          </cell>
        </row>
        <row r="303">
          <cell r="A303">
            <v>3</v>
          </cell>
          <cell r="B303" t="str">
            <v>Parking structure (Half of Parking Req'mts)</v>
          </cell>
          <cell r="C303">
            <v>4500</v>
          </cell>
        </row>
        <row r="309">
          <cell r="A309">
            <v>1</v>
          </cell>
          <cell r="B309" t="str">
            <v>2" bituminous paving, 4" gravel, 4' width</v>
          </cell>
          <cell r="C309">
            <v>7.8</v>
          </cell>
        </row>
        <row r="310">
          <cell r="A310">
            <v>2</v>
          </cell>
          <cell r="B310" t="str">
            <v>4" conc paving, 4" gravel, 4' width</v>
          </cell>
          <cell r="C310">
            <v>11</v>
          </cell>
        </row>
        <row r="311">
          <cell r="A311">
            <v>3</v>
          </cell>
          <cell r="B311" t="str">
            <v>6" conc paving, 4" gravel, 4' width</v>
          </cell>
          <cell r="C311">
            <v>13</v>
          </cell>
        </row>
        <row r="321">
          <cell r="A321">
            <v>1</v>
          </cell>
          <cell r="B321" t="str">
            <v>8" PVC, class 150, SDR 18, excav &amp; backfill</v>
          </cell>
          <cell r="C321">
            <v>27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Project Info"/>
      <sheetName val=" Project Sum"/>
      <sheetName val="Breakdown"/>
    </sheetNames>
    <sheetDataSet>
      <sheetData sheetId="0">
        <row r="16">
          <cell r="H16" t="str">
            <v>B. Local Door Alarms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vin.Shultis@smithgroup.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Z95"/>
  <sheetViews>
    <sheetView workbookViewId="0" topLeftCell="E38">
      <selection activeCell="H47" sqref="H47"/>
    </sheetView>
  </sheetViews>
  <sheetFormatPr defaultColWidth="9.140625" defaultRowHeight="12.75"/>
  <cols>
    <col min="1" max="1" width="1.421875" style="16" customWidth="1"/>
    <col min="2" max="2" width="2.00390625" style="16" customWidth="1"/>
    <col min="3" max="3" width="26.00390625" style="16" customWidth="1"/>
    <col min="4" max="4" width="31.421875" style="17" customWidth="1"/>
    <col min="5" max="5" width="1.421875" style="16" customWidth="1"/>
    <col min="6" max="6" width="1.7109375" style="16" customWidth="1"/>
    <col min="7" max="7" width="26.00390625" style="16" customWidth="1"/>
    <col min="8" max="8" width="38.00390625" style="17" customWidth="1"/>
    <col min="9" max="9" width="1.7109375" style="16" customWidth="1"/>
    <col min="10" max="11" width="14.7109375" style="16" customWidth="1"/>
    <col min="12" max="12" width="22.28125" style="16" customWidth="1"/>
    <col min="13" max="13" width="26.140625" style="16" customWidth="1"/>
    <col min="14" max="14" width="6.00390625" style="16" customWidth="1"/>
    <col min="15" max="15" width="18.8515625" style="16" bestFit="1" customWidth="1"/>
    <col min="16" max="16" width="18.421875" style="16" customWidth="1"/>
    <col min="17" max="17" width="24.28125" style="16" customWidth="1"/>
    <col min="18" max="23" width="18.8515625" style="16" customWidth="1"/>
    <col min="24" max="24" width="2.28125" style="16" customWidth="1"/>
    <col min="25" max="25" width="35.28125" style="16" customWidth="1"/>
    <col min="26" max="26" width="17.00390625" style="16" customWidth="1"/>
    <col min="27" max="27" width="18.421875" style="16" customWidth="1"/>
    <col min="28" max="16384" width="9.140625" style="16" customWidth="1"/>
  </cols>
  <sheetData>
    <row r="1" spans="1:16" s="4" customFormat="1" ht="18.75">
      <c r="A1" s="2"/>
      <c r="B1" s="3"/>
      <c r="C1" s="3"/>
      <c r="D1" s="3"/>
      <c r="F1" s="3"/>
      <c r="G1" s="3"/>
      <c r="H1" s="5" t="s">
        <v>162</v>
      </c>
      <c r="I1" s="6"/>
      <c r="J1" s="6"/>
      <c r="K1" s="6"/>
      <c r="L1" s="1" t="s">
        <v>152</v>
      </c>
      <c r="M1" s="1" t="s">
        <v>153</v>
      </c>
      <c r="N1" s="11"/>
      <c r="O1" s="12" t="s">
        <v>161</v>
      </c>
      <c r="P1" s="12" t="s">
        <v>160</v>
      </c>
    </row>
    <row r="2" spans="1:16" s="4" customFormat="1" ht="12" customHeight="1">
      <c r="A2" s="2"/>
      <c r="B2" s="3"/>
      <c r="C2" s="3"/>
      <c r="D2" s="3"/>
      <c r="E2" s="6"/>
      <c r="F2" s="3"/>
      <c r="G2" s="3"/>
      <c r="H2" s="3"/>
      <c r="I2" s="6"/>
      <c r="J2" s="6"/>
      <c r="K2" s="6"/>
      <c r="L2" s="11"/>
      <c r="M2" s="11"/>
      <c r="N2" s="11"/>
      <c r="O2" s="11"/>
      <c r="P2" s="11"/>
    </row>
    <row r="3" spans="1:16" s="9" customFormat="1" ht="13.5" customHeight="1">
      <c r="A3" s="29" t="s">
        <v>89</v>
      </c>
      <c r="B3" s="30"/>
      <c r="C3" s="30"/>
      <c r="D3" s="442"/>
      <c r="E3" s="442"/>
      <c r="F3" s="30"/>
      <c r="G3" s="30"/>
      <c r="H3" s="31"/>
      <c r="I3" s="8"/>
      <c r="J3" s="8"/>
      <c r="K3" s="8"/>
      <c r="L3" s="10" t="s">
        <v>91</v>
      </c>
      <c r="M3" s="7"/>
      <c r="N3" s="11"/>
      <c r="O3" s="10" t="s">
        <v>91</v>
      </c>
      <c r="P3" s="11" t="s">
        <v>235</v>
      </c>
    </row>
    <row r="4" spans="8:16" ht="12" customHeight="1">
      <c r="H4" s="18"/>
      <c r="L4" s="7" t="s">
        <v>96</v>
      </c>
      <c r="M4" s="7"/>
      <c r="N4" s="11"/>
      <c r="O4" s="11"/>
      <c r="P4" s="11"/>
    </row>
    <row r="5" spans="2:16" ht="15.75" customHeight="1">
      <c r="B5" s="19"/>
      <c r="C5" s="20" t="s">
        <v>93</v>
      </c>
      <c r="D5" s="32" t="s">
        <v>295</v>
      </c>
      <c r="E5" s="19"/>
      <c r="F5" s="19"/>
      <c r="G5" s="20" t="s">
        <v>94</v>
      </c>
      <c r="H5" s="21"/>
      <c r="L5" s="7" t="s">
        <v>97</v>
      </c>
      <c r="M5" s="7"/>
      <c r="N5" s="11"/>
      <c r="O5" s="11"/>
      <c r="P5" s="11"/>
    </row>
    <row r="6" spans="2:16" ht="15.75" customHeight="1">
      <c r="B6" s="19"/>
      <c r="C6" s="20" t="s">
        <v>100</v>
      </c>
      <c r="D6" s="32" t="s">
        <v>305</v>
      </c>
      <c r="E6" s="19"/>
      <c r="F6" s="19"/>
      <c r="G6" s="20" t="s">
        <v>101</v>
      </c>
      <c r="H6" s="22"/>
      <c r="L6" s="7" t="s">
        <v>108</v>
      </c>
      <c r="M6" s="7"/>
      <c r="N6" s="11"/>
      <c r="O6" s="11"/>
      <c r="P6" s="11"/>
    </row>
    <row r="7" spans="2:16" ht="15.75" customHeight="1">
      <c r="B7" s="19"/>
      <c r="C7" s="20" t="s">
        <v>105</v>
      </c>
      <c r="D7" s="33" t="s">
        <v>296</v>
      </c>
      <c r="E7" s="19"/>
      <c r="F7" s="19"/>
      <c r="G7" s="20" t="s">
        <v>177</v>
      </c>
      <c r="H7" s="23"/>
      <c r="L7" s="7" t="s">
        <v>113</v>
      </c>
      <c r="M7" s="7"/>
      <c r="N7" s="11"/>
      <c r="O7" s="11"/>
      <c r="P7" s="11"/>
    </row>
    <row r="8" spans="2:16" ht="15.75" customHeight="1">
      <c r="B8" s="19"/>
      <c r="C8" s="20"/>
      <c r="D8" s="32"/>
      <c r="E8" s="19"/>
      <c r="F8" s="19"/>
      <c r="G8" s="20" t="s">
        <v>176</v>
      </c>
      <c r="H8" s="22"/>
      <c r="L8" s="7"/>
      <c r="M8" s="7"/>
      <c r="N8" s="11"/>
      <c r="O8" s="11"/>
      <c r="P8" s="11"/>
    </row>
    <row r="9" spans="2:16" ht="15.75" customHeight="1">
      <c r="B9" s="19"/>
      <c r="C9" s="20" t="s">
        <v>117</v>
      </c>
      <c r="D9" s="34">
        <v>21868</v>
      </c>
      <c r="E9" s="19"/>
      <c r="F9" s="19"/>
      <c r="G9" s="20" t="s">
        <v>115</v>
      </c>
      <c r="H9" s="23"/>
      <c r="L9" s="7"/>
      <c r="M9" s="7"/>
      <c r="N9" s="11"/>
      <c r="O9" s="11"/>
      <c r="P9" s="11"/>
    </row>
    <row r="10" spans="2:16" ht="15.75" customHeight="1">
      <c r="B10" s="19"/>
      <c r="C10" s="20"/>
      <c r="D10" s="34"/>
      <c r="E10" s="19"/>
      <c r="F10" s="19"/>
      <c r="H10" s="24"/>
      <c r="L10" s="7"/>
      <c r="M10" s="7"/>
      <c r="N10" s="11"/>
      <c r="O10" s="11"/>
      <c r="P10" s="11"/>
    </row>
    <row r="11" spans="2:16" ht="15.75" customHeight="1">
      <c r="B11" s="19"/>
      <c r="C11" s="20"/>
      <c r="D11" s="35"/>
      <c r="E11" s="19"/>
      <c r="F11" s="19"/>
      <c r="H11" s="19"/>
      <c r="L11" s="10" t="s">
        <v>121</v>
      </c>
      <c r="M11" s="13" t="s">
        <v>151</v>
      </c>
      <c r="N11" s="11"/>
      <c r="O11" s="10" t="s">
        <v>121</v>
      </c>
      <c r="P11" s="11" t="s">
        <v>236</v>
      </c>
    </row>
    <row r="12" spans="2:16" ht="15.75" customHeight="1">
      <c r="B12" s="19"/>
      <c r="C12" s="20" t="s">
        <v>91</v>
      </c>
      <c r="D12" s="32"/>
      <c r="E12" s="19"/>
      <c r="F12" s="19"/>
      <c r="G12" s="25" t="s">
        <v>164</v>
      </c>
      <c r="H12" s="19"/>
      <c r="L12" s="7" t="s">
        <v>159</v>
      </c>
      <c r="M12" s="7" t="s">
        <v>124</v>
      </c>
      <c r="N12" s="11"/>
      <c r="O12" s="11"/>
      <c r="P12" s="11"/>
    </row>
    <row r="13" spans="2:16" ht="15.75" customHeight="1">
      <c r="B13" s="19"/>
      <c r="C13" s="20" t="s">
        <v>121</v>
      </c>
      <c r="D13" s="33"/>
      <c r="E13" s="19"/>
      <c r="F13" s="19"/>
      <c r="H13" s="19"/>
      <c r="L13" s="7" t="s">
        <v>102</v>
      </c>
      <c r="M13" s="7" t="s">
        <v>124</v>
      </c>
      <c r="N13" s="11"/>
      <c r="O13" s="11"/>
      <c r="P13" s="11"/>
    </row>
    <row r="14" spans="2:16" ht="15.75" customHeight="1">
      <c r="B14" s="19"/>
      <c r="C14" s="20" t="s">
        <v>126</v>
      </c>
      <c r="D14" s="40">
        <v>37951</v>
      </c>
      <c r="E14" s="19"/>
      <c r="F14" s="19"/>
      <c r="G14" s="25" t="s">
        <v>165</v>
      </c>
      <c r="H14" s="176" t="s">
        <v>380</v>
      </c>
      <c r="I14" s="16" t="s">
        <v>372</v>
      </c>
      <c r="L14" s="7" t="s">
        <v>127</v>
      </c>
      <c r="M14" s="7" t="s">
        <v>128</v>
      </c>
      <c r="N14" s="11"/>
      <c r="O14" s="11"/>
      <c r="P14" s="11"/>
    </row>
    <row r="15" spans="2:16" ht="15.75" customHeight="1">
      <c r="B15" s="19"/>
      <c r="C15" s="20"/>
      <c r="D15" s="18"/>
      <c r="E15" s="19"/>
      <c r="F15" s="19"/>
      <c r="G15" s="25" t="s">
        <v>166</v>
      </c>
      <c r="H15" s="176" t="s">
        <v>381</v>
      </c>
      <c r="I15" s="53"/>
      <c r="L15" s="7" t="s">
        <v>129</v>
      </c>
      <c r="M15" s="7" t="s">
        <v>130</v>
      </c>
      <c r="N15" s="11"/>
      <c r="O15" s="11"/>
      <c r="P15" s="11"/>
    </row>
    <row r="16" spans="2:16" ht="15.75" customHeight="1">
      <c r="B16" s="19"/>
      <c r="C16" s="20" t="s">
        <v>131</v>
      </c>
      <c r="D16" s="36">
        <f>Report_Date</f>
        <v>37951</v>
      </c>
      <c r="E16" s="19"/>
      <c r="F16" s="19"/>
      <c r="G16" s="25" t="s">
        <v>167</v>
      </c>
      <c r="H16" s="176" t="s">
        <v>382</v>
      </c>
      <c r="I16" s="53"/>
      <c r="L16" s="7" t="s">
        <v>132</v>
      </c>
      <c r="M16" s="7" t="s">
        <v>133</v>
      </c>
      <c r="N16" s="11"/>
      <c r="O16" s="11"/>
      <c r="P16" s="11"/>
    </row>
    <row r="17" spans="2:16" ht="15.75" customHeight="1">
      <c r="B17" s="19"/>
      <c r="C17" s="20" t="s">
        <v>134</v>
      </c>
      <c r="D17" s="37">
        <v>24</v>
      </c>
      <c r="E17" s="19"/>
      <c r="F17" s="19"/>
      <c r="G17" s="25" t="s">
        <v>168</v>
      </c>
      <c r="H17" s="176" t="s">
        <v>383</v>
      </c>
      <c r="I17" s="53"/>
      <c r="L17" s="7"/>
      <c r="M17" s="7"/>
      <c r="N17" s="11"/>
      <c r="O17" s="11"/>
      <c r="P17" s="11"/>
    </row>
    <row r="18" spans="2:26" ht="15.75" customHeight="1">
      <c r="B18" s="19"/>
      <c r="C18" s="20"/>
      <c r="D18" s="18"/>
      <c r="E18" s="19"/>
      <c r="F18" s="19"/>
      <c r="G18" s="25" t="s">
        <v>169</v>
      </c>
      <c r="H18" s="176" t="s">
        <v>384</v>
      </c>
      <c r="I18" s="53"/>
      <c r="L18" s="7"/>
      <c r="M18" s="7"/>
      <c r="N18" s="11"/>
      <c r="O18" s="11"/>
      <c r="P18" s="11"/>
      <c r="Y18" s="25"/>
      <c r="Z18" s="25"/>
    </row>
    <row r="19" spans="2:26" ht="15.75" customHeight="1">
      <c r="B19" s="19"/>
      <c r="C19" s="20" t="s">
        <v>135</v>
      </c>
      <c r="D19" s="187" t="s">
        <v>297</v>
      </c>
      <c r="E19" s="19"/>
      <c r="F19" s="19"/>
      <c r="G19" s="25" t="s">
        <v>173</v>
      </c>
      <c r="H19" s="176" t="s">
        <v>385</v>
      </c>
      <c r="I19" s="53"/>
      <c r="L19" s="11"/>
      <c r="M19" s="11"/>
      <c r="N19" s="11"/>
      <c r="O19" s="11"/>
      <c r="P19" s="11"/>
      <c r="Z19" s="26"/>
    </row>
    <row r="20" spans="2:26" ht="15.75" customHeight="1">
      <c r="B20" s="19"/>
      <c r="C20" s="20" t="s">
        <v>408</v>
      </c>
      <c r="D20" s="33" t="s">
        <v>88</v>
      </c>
      <c r="E20" s="19"/>
      <c r="F20" s="19"/>
      <c r="G20" s="25" t="s">
        <v>174</v>
      </c>
      <c r="H20" s="176" t="s">
        <v>386</v>
      </c>
      <c r="I20" s="53"/>
      <c r="L20" s="10" t="s">
        <v>154</v>
      </c>
      <c r="M20" s="14" t="s">
        <v>92</v>
      </c>
      <c r="N20" s="11"/>
      <c r="O20" s="20" t="s">
        <v>94</v>
      </c>
      <c r="P20" s="11" t="s">
        <v>379</v>
      </c>
      <c r="Q20" s="16" t="s">
        <v>378</v>
      </c>
      <c r="Z20" s="26"/>
    </row>
    <row r="21" spans="2:26" ht="15.75" customHeight="1">
      <c r="B21" s="19"/>
      <c r="C21" s="20" t="s">
        <v>409</v>
      </c>
      <c r="D21" s="33" t="s">
        <v>170</v>
      </c>
      <c r="E21" s="19"/>
      <c r="F21" s="19"/>
      <c r="G21" s="25" t="s">
        <v>175</v>
      </c>
      <c r="H21" s="176" t="s">
        <v>387</v>
      </c>
      <c r="I21" s="53"/>
      <c r="L21" s="7" t="s">
        <v>155</v>
      </c>
      <c r="M21" s="15" t="s">
        <v>156</v>
      </c>
      <c r="N21" s="11"/>
      <c r="O21" s="20" t="s">
        <v>101</v>
      </c>
      <c r="P21" s="11" t="s">
        <v>178</v>
      </c>
      <c r="Z21" s="26"/>
    </row>
    <row r="22" spans="2:26" ht="15.75" customHeight="1">
      <c r="B22" s="19"/>
      <c r="C22" s="20" t="s">
        <v>410</v>
      </c>
      <c r="D22" s="33"/>
      <c r="E22" s="19"/>
      <c r="F22" s="19"/>
      <c r="G22" s="25" t="s">
        <v>326</v>
      </c>
      <c r="H22" s="176" t="s">
        <v>388</v>
      </c>
      <c r="L22" s="7" t="s">
        <v>112</v>
      </c>
      <c r="M22" s="15" t="s">
        <v>125</v>
      </c>
      <c r="N22" s="11"/>
      <c r="O22" s="20" t="s">
        <v>106</v>
      </c>
      <c r="P22" s="11" t="s">
        <v>178</v>
      </c>
      <c r="Z22" s="26"/>
    </row>
    <row r="23" spans="2:26" ht="15.75" customHeight="1">
      <c r="B23" s="19"/>
      <c r="C23" s="20" t="s">
        <v>411</v>
      </c>
      <c r="D23" s="33" t="s">
        <v>171</v>
      </c>
      <c r="E23" s="19"/>
      <c r="F23" s="19"/>
      <c r="G23" s="25" t="s">
        <v>327</v>
      </c>
      <c r="H23" s="176" t="s">
        <v>57</v>
      </c>
      <c r="L23" s="7" t="s">
        <v>157</v>
      </c>
      <c r="M23" s="15" t="s">
        <v>158</v>
      </c>
      <c r="N23" s="11"/>
      <c r="O23" s="20" t="s">
        <v>111</v>
      </c>
      <c r="P23" s="11" t="s">
        <v>178</v>
      </c>
      <c r="Z23" s="26"/>
    </row>
    <row r="24" spans="2:26" ht="15.75" customHeight="1">
      <c r="B24" s="19"/>
      <c r="C24" s="20" t="s">
        <v>412</v>
      </c>
      <c r="D24" s="33" t="s">
        <v>172</v>
      </c>
      <c r="E24" s="19"/>
      <c r="F24" s="19"/>
      <c r="G24" s="25" t="s">
        <v>328</v>
      </c>
      <c r="H24" s="176" t="s">
        <v>58</v>
      </c>
      <c r="L24" s="7" t="s">
        <v>98</v>
      </c>
      <c r="M24" s="15" t="s">
        <v>99</v>
      </c>
      <c r="N24" s="11"/>
      <c r="O24" s="20" t="s">
        <v>115</v>
      </c>
      <c r="P24" s="11" t="s">
        <v>178</v>
      </c>
      <c r="Z24" s="26"/>
    </row>
    <row r="25" spans="2:26" ht="15.75" customHeight="1">
      <c r="B25" s="19"/>
      <c r="C25" s="20" t="s">
        <v>413</v>
      </c>
      <c r="D25" s="38">
        <v>48226</v>
      </c>
      <c r="E25" s="19"/>
      <c r="F25" s="19"/>
      <c r="G25" s="25" t="s">
        <v>329</v>
      </c>
      <c r="H25" s="176" t="s">
        <v>289</v>
      </c>
      <c r="I25" s="50"/>
      <c r="L25" s="7" t="s">
        <v>103</v>
      </c>
      <c r="M25" s="15" t="s">
        <v>104</v>
      </c>
      <c r="N25" s="11"/>
      <c r="O25" s="11"/>
      <c r="P25" s="11"/>
      <c r="Z25" s="26"/>
    </row>
    <row r="26" spans="2:26" ht="15.75" customHeight="1">
      <c r="B26" s="19"/>
      <c r="C26" s="20" t="s">
        <v>144</v>
      </c>
      <c r="D26" s="33" t="s">
        <v>185</v>
      </c>
      <c r="E26" s="19"/>
      <c r="F26" s="19"/>
      <c r="G26" s="25" t="s">
        <v>330</v>
      </c>
      <c r="H26" s="176" t="s">
        <v>288</v>
      </c>
      <c r="I26" s="50"/>
      <c r="L26" s="7" t="s">
        <v>109</v>
      </c>
      <c r="M26" s="15" t="s">
        <v>110</v>
      </c>
      <c r="N26" s="11"/>
      <c r="O26" s="11"/>
      <c r="P26" s="11"/>
      <c r="Z26" s="26"/>
    </row>
    <row r="27" spans="2:26" ht="15.75" customHeight="1">
      <c r="B27" s="19"/>
      <c r="C27" s="20" t="s">
        <v>145</v>
      </c>
      <c r="D27" s="39" t="s">
        <v>298</v>
      </c>
      <c r="E27" s="19"/>
      <c r="F27" s="19"/>
      <c r="G27" s="25" t="s">
        <v>331</v>
      </c>
      <c r="H27" s="176" t="s">
        <v>287</v>
      </c>
      <c r="I27" s="50"/>
      <c r="L27" s="7" t="s">
        <v>107</v>
      </c>
      <c r="M27" s="15" t="s">
        <v>114</v>
      </c>
      <c r="N27" s="11"/>
      <c r="O27" s="11"/>
      <c r="P27" s="11"/>
      <c r="Z27" s="26"/>
    </row>
    <row r="28" spans="2:16" ht="15.75" customHeight="1">
      <c r="B28" s="19"/>
      <c r="C28" s="20" t="s">
        <v>146</v>
      </c>
      <c r="D28" s="39">
        <v>313442817</v>
      </c>
      <c r="E28" s="19"/>
      <c r="F28" s="19"/>
      <c r="G28" s="25" t="s">
        <v>332</v>
      </c>
      <c r="H28" s="176" t="s">
        <v>286</v>
      </c>
      <c r="I28" s="50"/>
      <c r="L28" s="7" t="s">
        <v>95</v>
      </c>
      <c r="M28" s="15" t="s">
        <v>116</v>
      </c>
      <c r="N28" s="11"/>
      <c r="O28" s="11"/>
      <c r="P28" s="11"/>
    </row>
    <row r="29" spans="2:16" ht="15.75" customHeight="1">
      <c r="B29" s="19"/>
      <c r="C29" s="20" t="s">
        <v>147</v>
      </c>
      <c r="D29" s="28" t="s">
        <v>299</v>
      </c>
      <c r="E29" s="19"/>
      <c r="F29" s="19"/>
      <c r="G29" s="25" t="s">
        <v>334</v>
      </c>
      <c r="H29" s="176" t="s">
        <v>137</v>
      </c>
      <c r="I29" s="50"/>
      <c r="L29" s="7" t="s">
        <v>90</v>
      </c>
      <c r="M29" s="15" t="s">
        <v>118</v>
      </c>
      <c r="N29" s="11"/>
      <c r="O29" s="11"/>
      <c r="P29" s="11"/>
    </row>
    <row r="30" spans="2:16" ht="15.75" customHeight="1">
      <c r="B30" s="19"/>
      <c r="D30" s="16"/>
      <c r="E30" s="19"/>
      <c r="F30" s="19"/>
      <c r="G30" s="304" t="s">
        <v>335</v>
      </c>
      <c r="H30" s="305" t="s">
        <v>492</v>
      </c>
      <c r="I30" s="306" t="s">
        <v>514</v>
      </c>
      <c r="L30" s="7" t="s">
        <v>119</v>
      </c>
      <c r="M30" s="15" t="s">
        <v>120</v>
      </c>
      <c r="N30" s="11"/>
      <c r="O30" s="11"/>
      <c r="P30" s="11"/>
    </row>
    <row r="31" spans="4:16" ht="15.75" customHeight="1">
      <c r="D31" s="16"/>
      <c r="G31" s="304" t="s">
        <v>336</v>
      </c>
      <c r="H31" s="305" t="s">
        <v>501</v>
      </c>
      <c r="L31" s="7" t="s">
        <v>122</v>
      </c>
      <c r="M31" s="15" t="s">
        <v>123</v>
      </c>
      <c r="N31" s="11"/>
      <c r="O31" s="11"/>
      <c r="P31" s="11"/>
    </row>
    <row r="32" spans="4:16" ht="15.75" customHeight="1">
      <c r="D32" s="16"/>
      <c r="G32" s="304" t="s">
        <v>337</v>
      </c>
      <c r="H32" s="305" t="s">
        <v>500</v>
      </c>
      <c r="L32" s="7" t="s">
        <v>180</v>
      </c>
      <c r="M32" s="15" t="s">
        <v>181</v>
      </c>
      <c r="N32" s="11"/>
      <c r="O32" s="11"/>
      <c r="P32" s="11"/>
    </row>
    <row r="33" spans="4:16" ht="15.75" customHeight="1">
      <c r="D33" s="16"/>
      <c r="G33" s="304" t="s">
        <v>338</v>
      </c>
      <c r="H33" s="305" t="s">
        <v>502</v>
      </c>
      <c r="L33" s="7" t="s">
        <v>179</v>
      </c>
      <c r="M33" s="15" t="s">
        <v>182</v>
      </c>
      <c r="N33" s="11"/>
      <c r="O33" s="11"/>
      <c r="P33" s="11"/>
    </row>
    <row r="34" spans="4:16" ht="15.75" customHeight="1">
      <c r="D34" s="16"/>
      <c r="G34" s="304" t="s">
        <v>339</v>
      </c>
      <c r="H34" s="305" t="s">
        <v>503</v>
      </c>
      <c r="L34" s="7" t="s">
        <v>184</v>
      </c>
      <c r="M34" s="15" t="s">
        <v>183</v>
      </c>
      <c r="N34" s="11"/>
      <c r="O34" s="11"/>
      <c r="P34" s="11"/>
    </row>
    <row r="35" spans="4:16" ht="15.75" customHeight="1">
      <c r="D35" s="16"/>
      <c r="G35" s="304" t="s">
        <v>340</v>
      </c>
      <c r="H35" s="305" t="s">
        <v>505</v>
      </c>
      <c r="L35" s="11"/>
      <c r="M35" s="11"/>
      <c r="N35" s="11"/>
      <c r="O35" s="11"/>
      <c r="P35" s="11"/>
    </row>
    <row r="36" spans="4:16" ht="15.75" customHeight="1">
      <c r="D36" s="16"/>
      <c r="G36" s="304" t="s">
        <v>345</v>
      </c>
      <c r="H36" s="305" t="s">
        <v>515</v>
      </c>
      <c r="L36" s="11"/>
      <c r="M36" s="11"/>
      <c r="N36" s="11"/>
      <c r="O36" s="11"/>
      <c r="P36" s="11"/>
    </row>
    <row r="37" spans="4:8" ht="15.75" customHeight="1">
      <c r="D37" s="16"/>
      <c r="G37" s="304" t="s">
        <v>346</v>
      </c>
      <c r="H37" s="305" t="s">
        <v>506</v>
      </c>
    </row>
    <row r="38" spans="4:8" ht="15.75" customHeight="1">
      <c r="D38" s="16"/>
      <c r="G38" s="304" t="s">
        <v>347</v>
      </c>
      <c r="H38" s="305" t="s">
        <v>507</v>
      </c>
    </row>
    <row r="39" spans="4:8" ht="15.75" customHeight="1">
      <c r="D39" s="16"/>
      <c r="G39" s="304" t="s">
        <v>348</v>
      </c>
      <c r="H39" s="305" t="s">
        <v>508</v>
      </c>
    </row>
    <row r="40" spans="4:8" ht="15.75" customHeight="1">
      <c r="D40" s="16"/>
      <c r="G40" s="304" t="s">
        <v>349</v>
      </c>
      <c r="H40" s="305" t="s">
        <v>509</v>
      </c>
    </row>
    <row r="41" spans="4:8" ht="15.75" customHeight="1">
      <c r="D41" s="16"/>
      <c r="G41" s="304" t="s">
        <v>350</v>
      </c>
      <c r="H41" s="305" t="s">
        <v>510</v>
      </c>
    </row>
    <row r="42" spans="4:8" ht="15.75" customHeight="1">
      <c r="D42" s="16"/>
      <c r="G42" s="304" t="s">
        <v>351</v>
      </c>
      <c r="H42" s="305" t="s">
        <v>511</v>
      </c>
    </row>
    <row r="43" spans="4:8" ht="15.75" customHeight="1">
      <c r="D43" s="16"/>
      <c r="G43" s="304" t="s">
        <v>33</v>
      </c>
      <c r="H43" s="305" t="s">
        <v>512</v>
      </c>
    </row>
    <row r="44" spans="4:8" ht="15.75" customHeight="1">
      <c r="D44" s="16"/>
      <c r="G44" s="304" t="s">
        <v>34</v>
      </c>
      <c r="H44" s="305" t="s">
        <v>513</v>
      </c>
    </row>
    <row r="45" spans="4:8" ht="15.75" customHeight="1">
      <c r="D45" s="16"/>
      <c r="G45" s="304" t="s">
        <v>35</v>
      </c>
      <c r="H45" s="305" t="s">
        <v>504</v>
      </c>
    </row>
    <row r="46" spans="4:8" ht="15.75" customHeight="1">
      <c r="D46" s="16"/>
      <c r="G46" s="304" t="s">
        <v>36</v>
      </c>
      <c r="H46" s="305"/>
    </row>
    <row r="47" spans="4:8" ht="15.75" customHeight="1">
      <c r="D47" s="16"/>
      <c r="G47" s="25" t="s">
        <v>487</v>
      </c>
      <c r="H47" s="176" t="s">
        <v>86</v>
      </c>
    </row>
    <row r="48" spans="4:8" ht="15.75" customHeight="1">
      <c r="D48" s="16"/>
      <c r="G48" s="177" t="s">
        <v>488</v>
      </c>
      <c r="H48" s="51" t="s">
        <v>30</v>
      </c>
    </row>
    <row r="49" spans="4:8" ht="15.75" customHeight="1">
      <c r="D49" s="16"/>
      <c r="G49" s="183" t="s">
        <v>489</v>
      </c>
      <c r="H49" s="184" t="s">
        <v>234</v>
      </c>
    </row>
    <row r="50" spans="4:8" ht="15.75" customHeight="1">
      <c r="D50" s="16"/>
      <c r="G50" s="178" t="s">
        <v>490</v>
      </c>
      <c r="H50" s="54" t="s">
        <v>424</v>
      </c>
    </row>
    <row r="51" spans="4:8" ht="15.75" customHeight="1">
      <c r="D51" s="16"/>
      <c r="G51" s="178" t="s">
        <v>491</v>
      </c>
      <c r="H51" s="54" t="s">
        <v>425</v>
      </c>
    </row>
    <row r="52" spans="4:8" ht="15.75" customHeight="1">
      <c r="D52" s="16"/>
      <c r="G52" s="178" t="s">
        <v>415</v>
      </c>
      <c r="H52" s="54" t="s">
        <v>423</v>
      </c>
    </row>
    <row r="53" spans="4:8" ht="15.75" customHeight="1">
      <c r="D53" s="16"/>
      <c r="G53" s="177" t="s">
        <v>416</v>
      </c>
      <c r="H53" s="51" t="s">
        <v>67</v>
      </c>
    </row>
    <row r="54" spans="4:8" ht="15.75" customHeight="1">
      <c r="D54" s="16"/>
      <c r="G54" s="177" t="s">
        <v>417</v>
      </c>
      <c r="H54" s="51" t="s">
        <v>66</v>
      </c>
    </row>
    <row r="55" spans="4:8" ht="15.75" customHeight="1">
      <c r="D55" s="16"/>
      <c r="G55" s="352" t="s">
        <v>418</v>
      </c>
      <c r="H55" s="176" t="s">
        <v>493</v>
      </c>
    </row>
    <row r="56" spans="4:8" ht="15.75" customHeight="1">
      <c r="D56" s="16"/>
      <c r="G56" s="352" t="s">
        <v>419</v>
      </c>
      <c r="H56" s="176" t="s">
        <v>494</v>
      </c>
    </row>
    <row r="57" spans="4:8" ht="15.75" customHeight="1">
      <c r="D57" s="16"/>
      <c r="G57" s="352" t="s">
        <v>420</v>
      </c>
      <c r="H57" s="176" t="s">
        <v>495</v>
      </c>
    </row>
    <row r="58" spans="4:8" ht="15.75" customHeight="1">
      <c r="D58" s="16"/>
      <c r="G58" s="352" t="s">
        <v>421</v>
      </c>
      <c r="H58" s="176" t="s">
        <v>496</v>
      </c>
    </row>
    <row r="59" spans="4:8" ht="15.75" customHeight="1">
      <c r="D59" s="16"/>
      <c r="G59" s="352" t="s">
        <v>422</v>
      </c>
      <c r="H59" s="176" t="s">
        <v>497</v>
      </c>
    </row>
    <row r="60" spans="4:8" ht="15.75" customHeight="1">
      <c r="D60" s="16"/>
      <c r="G60" s="352" t="s">
        <v>498</v>
      </c>
      <c r="H60" s="176" t="s">
        <v>499</v>
      </c>
    </row>
    <row r="61" spans="4:9" ht="15.75" customHeight="1">
      <c r="D61" s="16"/>
      <c r="G61" s="177" t="s">
        <v>352</v>
      </c>
      <c r="H61" s="51" t="s">
        <v>290</v>
      </c>
      <c r="I61" s="52" t="s">
        <v>373</v>
      </c>
    </row>
    <row r="62" spans="4:9" ht="15.75" customHeight="1">
      <c r="D62" s="16"/>
      <c r="G62" s="177" t="s">
        <v>353</v>
      </c>
      <c r="H62" s="51" t="s">
        <v>427</v>
      </c>
      <c r="I62" s="52"/>
    </row>
    <row r="63" spans="4:8" ht="15.75" customHeight="1">
      <c r="D63" s="16"/>
      <c r="G63" s="177" t="s">
        <v>343</v>
      </c>
      <c r="H63" s="51" t="s">
        <v>291</v>
      </c>
    </row>
    <row r="64" spans="4:8" ht="15.75" customHeight="1">
      <c r="D64" s="16"/>
      <c r="G64" s="177" t="s">
        <v>354</v>
      </c>
      <c r="H64" s="51" t="s">
        <v>32</v>
      </c>
    </row>
    <row r="65" spans="4:8" ht="15.75" customHeight="1">
      <c r="D65" s="16"/>
      <c r="G65" s="177" t="s">
        <v>355</v>
      </c>
      <c r="H65" s="51" t="s">
        <v>28</v>
      </c>
    </row>
    <row r="66" spans="4:10" ht="15.75" customHeight="1">
      <c r="D66" s="16"/>
      <c r="G66" s="177" t="s">
        <v>356</v>
      </c>
      <c r="H66" s="51" t="s">
        <v>29</v>
      </c>
      <c r="J66" s="51"/>
    </row>
    <row r="67" spans="4:10" ht="15.75" customHeight="1">
      <c r="D67" s="16"/>
      <c r="G67" s="177" t="s">
        <v>357</v>
      </c>
      <c r="H67" s="51" t="s">
        <v>0</v>
      </c>
      <c r="J67" s="51"/>
    </row>
    <row r="68" spans="4:8" ht="15.75" customHeight="1">
      <c r="D68" s="16"/>
      <c r="G68" s="177" t="s">
        <v>358</v>
      </c>
      <c r="H68" s="51" t="s">
        <v>31</v>
      </c>
    </row>
    <row r="69" spans="4:9" ht="15.75" customHeight="1">
      <c r="D69" s="16"/>
      <c r="G69" s="177" t="s">
        <v>1</v>
      </c>
      <c r="H69" s="51" t="s">
        <v>2</v>
      </c>
      <c r="I69" s="55" t="s">
        <v>374</v>
      </c>
    </row>
    <row r="70" spans="4:8" ht="15.75" customHeight="1">
      <c r="D70" s="16"/>
      <c r="G70" s="178" t="s">
        <v>359</v>
      </c>
      <c r="H70" s="54" t="s">
        <v>389</v>
      </c>
    </row>
    <row r="71" spans="4:8" ht="15.75" customHeight="1">
      <c r="D71" s="16"/>
      <c r="G71" s="178" t="s">
        <v>360</v>
      </c>
      <c r="H71" s="54" t="s">
        <v>390</v>
      </c>
    </row>
    <row r="72" spans="4:8" ht="15.75" customHeight="1">
      <c r="D72" s="16"/>
      <c r="G72" s="178" t="s">
        <v>361</v>
      </c>
      <c r="H72" s="54" t="s">
        <v>391</v>
      </c>
    </row>
    <row r="73" spans="4:8" ht="15.75" customHeight="1">
      <c r="D73" s="16"/>
      <c r="G73" s="178" t="s">
        <v>362</v>
      </c>
      <c r="H73" s="54" t="s">
        <v>392</v>
      </c>
    </row>
    <row r="74" spans="4:8" ht="15.75" customHeight="1">
      <c r="D74" s="16"/>
      <c r="G74" s="178" t="s">
        <v>344</v>
      </c>
      <c r="H74" s="54" t="s">
        <v>65</v>
      </c>
    </row>
    <row r="75" spans="4:9" ht="15.75" customHeight="1">
      <c r="D75" s="16"/>
      <c r="G75" s="183" t="s">
        <v>363</v>
      </c>
      <c r="H75" s="184" t="s">
        <v>398</v>
      </c>
      <c r="I75" s="185" t="s">
        <v>393</v>
      </c>
    </row>
    <row r="76" spans="4:8" ht="15.75" customHeight="1">
      <c r="D76" s="16"/>
      <c r="G76" s="183" t="s">
        <v>364</v>
      </c>
      <c r="H76" s="184" t="s">
        <v>399</v>
      </c>
    </row>
    <row r="77" spans="4:8" ht="15.75" customHeight="1">
      <c r="D77" s="16"/>
      <c r="G77" s="183" t="s">
        <v>365</v>
      </c>
      <c r="H77" s="184" t="s">
        <v>400</v>
      </c>
    </row>
    <row r="78" spans="4:8" ht="15.75" customHeight="1">
      <c r="D78" s="16"/>
      <c r="G78" s="183" t="s">
        <v>366</v>
      </c>
      <c r="H78" s="184" t="s">
        <v>401</v>
      </c>
    </row>
    <row r="79" spans="7:8" ht="15.75" customHeight="1">
      <c r="G79" s="183" t="s">
        <v>367</v>
      </c>
      <c r="H79" s="184" t="s">
        <v>402</v>
      </c>
    </row>
    <row r="80" spans="7:8" ht="15.75" customHeight="1">
      <c r="G80" s="183" t="s">
        <v>368</v>
      </c>
      <c r="H80" s="184" t="s">
        <v>284</v>
      </c>
    </row>
    <row r="81" spans="7:8" ht="15.75" customHeight="1">
      <c r="G81" s="183" t="s">
        <v>394</v>
      </c>
      <c r="H81" s="184" t="s">
        <v>285</v>
      </c>
    </row>
    <row r="82" spans="7:8" ht="15.75" customHeight="1">
      <c r="G82" s="183" t="s">
        <v>395</v>
      </c>
      <c r="H82" s="184" t="s">
        <v>59</v>
      </c>
    </row>
    <row r="83" spans="7:8" ht="15.75" customHeight="1">
      <c r="G83" s="183" t="s">
        <v>396</v>
      </c>
      <c r="H83" s="184" t="s">
        <v>293</v>
      </c>
    </row>
    <row r="84" spans="7:8" ht="15.75" customHeight="1">
      <c r="G84" s="352" t="s">
        <v>456</v>
      </c>
      <c r="H84" s="176" t="s">
        <v>136</v>
      </c>
    </row>
    <row r="85" spans="7:8" ht="15.75" customHeight="1">
      <c r="G85" s="352" t="s">
        <v>457</v>
      </c>
      <c r="H85" s="176" t="s">
        <v>138</v>
      </c>
    </row>
    <row r="86" spans="7:8" ht="15.75" customHeight="1">
      <c r="G86" s="352" t="s">
        <v>458</v>
      </c>
      <c r="H86" s="176" t="s">
        <v>85</v>
      </c>
    </row>
    <row r="87" spans="7:8" ht="15.75" customHeight="1">
      <c r="G87" s="352" t="s">
        <v>459</v>
      </c>
      <c r="H87" s="176" t="s">
        <v>461</v>
      </c>
    </row>
    <row r="88" spans="7:8" ht="15.75" customHeight="1">
      <c r="G88" s="352" t="s">
        <v>460</v>
      </c>
      <c r="H88" s="176" t="s">
        <v>462</v>
      </c>
    </row>
    <row r="89" spans="7:8" ht="15.75" customHeight="1">
      <c r="G89" s="183" t="s">
        <v>397</v>
      </c>
      <c r="H89" s="19" t="e">
        <f>#REF!</f>
        <v>#REF!</v>
      </c>
    </row>
    <row r="90" ht="15.75" customHeight="1">
      <c r="H90" s="16"/>
    </row>
    <row r="91" ht="15.75" customHeight="1">
      <c r="H91" s="16"/>
    </row>
    <row r="92" ht="15.75" customHeight="1">
      <c r="H92" s="16"/>
    </row>
    <row r="93" ht="15.75" customHeight="1">
      <c r="H93" s="16"/>
    </row>
    <row r="94" ht="15.75" customHeight="1">
      <c r="H94" s="16"/>
    </row>
    <row r="95" ht="15.75" customHeight="1">
      <c r="H95" s="16"/>
    </row>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row r="1347" ht="15.75" customHeight="1"/>
    <row r="1348" ht="15.75" customHeight="1"/>
    <row r="1349" ht="15.75" customHeight="1"/>
    <row r="1350" ht="15.75" customHeight="1"/>
    <row r="1351" ht="15.75" customHeight="1"/>
    <row r="1352" ht="15.75" customHeight="1"/>
    <row r="1353" ht="15.75" customHeight="1"/>
    <row r="1354" ht="15.75" customHeight="1"/>
    <row r="1355" ht="15.75" customHeight="1"/>
    <row r="1356" ht="15.75" customHeight="1"/>
    <row r="1357" ht="15.75" customHeight="1"/>
    <row r="1358" ht="15.75" customHeight="1"/>
    <row r="1359" ht="15.75" customHeight="1"/>
    <row r="1360" ht="15.75" customHeight="1"/>
    <row r="1361" ht="15.75" customHeight="1"/>
    <row r="1362" ht="15.75" customHeight="1"/>
    <row r="1363" ht="15.75" customHeight="1"/>
    <row r="1364" ht="15.75" customHeight="1"/>
    <row r="1365" ht="15.75" customHeight="1"/>
    <row r="1366" ht="15.75" customHeight="1"/>
    <row r="1367" ht="15.75" customHeight="1"/>
    <row r="1368" ht="15.75" customHeight="1"/>
    <row r="1369" ht="15.75" customHeight="1"/>
    <row r="1370" ht="15.75" customHeight="1"/>
    <row r="1371" ht="15.75" customHeight="1"/>
    <row r="1372" ht="15.75" customHeight="1"/>
    <row r="1373" ht="15.75" customHeight="1"/>
    <row r="1374" ht="15.75" customHeight="1"/>
    <row r="1375" ht="15.75" customHeight="1"/>
    <row r="1376" ht="15.75" customHeight="1"/>
    <row r="1377" ht="15.75" customHeight="1"/>
    <row r="1378" ht="15.75" customHeight="1"/>
    <row r="1379" ht="15.75" customHeight="1"/>
    <row r="1380" ht="15.75" customHeight="1"/>
    <row r="1381" ht="15.75" customHeight="1"/>
    <row r="1382" ht="15.75" customHeight="1"/>
    <row r="1383" ht="15.75" customHeight="1"/>
    <row r="1384" ht="15.75" customHeight="1"/>
    <row r="1385" ht="15.75" customHeight="1"/>
    <row r="1386" ht="15.75" customHeight="1"/>
    <row r="1387" ht="15.75" customHeight="1"/>
    <row r="1388" ht="15.75" customHeight="1"/>
    <row r="1389" ht="15.75" customHeight="1"/>
    <row r="1390" ht="15.75" customHeight="1"/>
    <row r="1391" ht="15.75" customHeight="1"/>
    <row r="1392" ht="15.75" customHeight="1"/>
    <row r="1393" ht="15.75" customHeight="1"/>
    <row r="1394" ht="15.75" customHeight="1"/>
    <row r="1395" ht="15.75" customHeight="1"/>
    <row r="1396" ht="15.75" customHeight="1"/>
    <row r="1397" ht="15.75" customHeight="1"/>
    <row r="1398" ht="15.75" customHeight="1"/>
    <row r="1399" ht="15.75" customHeight="1"/>
    <row r="1400" ht="15.75" customHeight="1"/>
    <row r="1401" ht="15.75" customHeight="1"/>
    <row r="1402" ht="15.75" customHeight="1"/>
    <row r="1403" ht="15.75" customHeight="1"/>
    <row r="1404" ht="15.75" customHeight="1"/>
    <row r="1405" ht="15.75" customHeight="1"/>
    <row r="1406" ht="15.75" customHeight="1"/>
    <row r="1407" ht="15.75" customHeight="1"/>
    <row r="1408" ht="15.75" customHeight="1"/>
    <row r="1409" ht="15.75" customHeight="1"/>
    <row r="1410" ht="15.75" customHeight="1"/>
    <row r="1411" ht="15.75" customHeight="1"/>
    <row r="1412" ht="15.75" customHeight="1"/>
    <row r="1413" ht="15.75" customHeight="1"/>
    <row r="1414" ht="15.75" customHeight="1"/>
    <row r="1415" ht="15.75" customHeight="1"/>
    <row r="1416" ht="15.75" customHeight="1"/>
    <row r="1417" ht="15.75" customHeight="1"/>
    <row r="1418" ht="15.75" customHeight="1"/>
    <row r="1419" ht="15.75" customHeight="1"/>
    <row r="1420" ht="15.75" customHeight="1"/>
    <row r="1421" ht="15.75" customHeight="1"/>
    <row r="1422" ht="15.75" customHeight="1"/>
    <row r="1423" ht="15.75" customHeight="1"/>
    <row r="1424" ht="15.75" customHeight="1"/>
    <row r="1425" ht="15.75" customHeight="1"/>
    <row r="1426" ht="15.75" customHeight="1"/>
    <row r="1427" ht="15.75" customHeight="1"/>
    <row r="1428" ht="15.75" customHeight="1"/>
    <row r="1429" ht="15.75" customHeight="1"/>
    <row r="1430" ht="15.75" customHeight="1"/>
    <row r="1431" ht="15.75" customHeight="1"/>
    <row r="1432" ht="15.75" customHeight="1"/>
    <row r="1433" ht="15.75" customHeight="1"/>
    <row r="1434" ht="15.75" customHeight="1"/>
    <row r="1435" ht="15.75" customHeight="1"/>
    <row r="1436" ht="15.75" customHeight="1"/>
    <row r="1437" ht="15.75" customHeight="1"/>
    <row r="1438" ht="15.75" customHeight="1"/>
    <row r="1439" ht="15.75" customHeight="1"/>
    <row r="1440" ht="15.75" customHeight="1"/>
    <row r="1441" ht="15.75" customHeight="1"/>
    <row r="1442" ht="15.75" customHeight="1"/>
    <row r="1443" ht="15.75" customHeight="1"/>
    <row r="1444" ht="15.75" customHeight="1"/>
    <row r="1445" ht="15.75" customHeight="1"/>
    <row r="1446" ht="15.75" customHeight="1"/>
    <row r="1447" ht="15.75" customHeight="1"/>
    <row r="1448" ht="15.75" customHeight="1"/>
    <row r="1449" ht="15.75" customHeight="1"/>
    <row r="1450" ht="15.75" customHeight="1"/>
    <row r="1451" ht="15.75" customHeight="1"/>
    <row r="1452" ht="15.75" customHeight="1"/>
    <row r="1453" ht="15.75" customHeight="1"/>
    <row r="1454" ht="15.75" customHeight="1"/>
    <row r="1455" ht="15.75" customHeight="1"/>
    <row r="1456" ht="15.75" customHeight="1"/>
    <row r="1457" ht="15.75" customHeight="1"/>
    <row r="1458" ht="15.75" customHeight="1"/>
    <row r="1459" ht="15.75" customHeight="1"/>
    <row r="1460" ht="15.75" customHeight="1"/>
    <row r="1461" ht="15.75" customHeight="1"/>
    <row r="1462" ht="15.75" customHeight="1"/>
    <row r="1463" ht="15.75" customHeight="1"/>
    <row r="1464" ht="15.75" customHeight="1"/>
    <row r="1465" ht="15.75" customHeight="1"/>
    <row r="1466" ht="15.75" customHeight="1"/>
    <row r="1467" ht="15.75" customHeight="1"/>
    <row r="1468" ht="15.75" customHeight="1"/>
    <row r="1469" ht="15.75" customHeight="1"/>
    <row r="1470" ht="15.75" customHeight="1"/>
    <row r="1471" ht="15.75" customHeight="1"/>
    <row r="1472" ht="15.75" customHeight="1"/>
    <row r="1473" ht="15.75" customHeight="1"/>
    <row r="1474" ht="15.75" customHeight="1"/>
    <row r="1475" ht="15.75" customHeight="1"/>
    <row r="1476" ht="15.75" customHeight="1"/>
    <row r="1477" ht="15.75" customHeight="1"/>
    <row r="1478" ht="15.75" customHeight="1"/>
    <row r="1479" ht="15.75" customHeight="1"/>
    <row r="1480" ht="15.75" customHeight="1"/>
    <row r="1481" ht="15.75" customHeight="1"/>
    <row r="1482" ht="15.75" customHeight="1"/>
    <row r="1483" ht="15.75" customHeight="1"/>
    <row r="1484" ht="15.75" customHeight="1"/>
    <row r="1485" ht="15.75" customHeight="1"/>
    <row r="1486" ht="15.75" customHeight="1"/>
    <row r="1487" ht="15.75" customHeight="1"/>
    <row r="1488" ht="15.75" customHeight="1"/>
    <row r="1489" ht="15.75" customHeight="1"/>
    <row r="1490" ht="15.75" customHeight="1"/>
    <row r="1491" ht="15.75" customHeight="1"/>
    <row r="1492" ht="15.75" customHeight="1"/>
    <row r="1493" ht="15.75" customHeight="1"/>
    <row r="1494" ht="15.75" customHeight="1"/>
    <row r="1495" ht="15.75" customHeight="1"/>
    <row r="1496" ht="15.75" customHeight="1"/>
    <row r="1497" ht="15.75" customHeight="1"/>
    <row r="1498" ht="15.75" customHeight="1"/>
    <row r="1499" ht="15.75" customHeight="1"/>
    <row r="1500" ht="15.75" customHeight="1"/>
    <row r="1501" ht="15.75" customHeight="1"/>
    <row r="1502" ht="15.75" customHeight="1"/>
    <row r="1503" ht="15.75" customHeight="1"/>
    <row r="1504" ht="15.75" customHeight="1"/>
    <row r="1505" ht="15.75" customHeight="1"/>
    <row r="1506" ht="15.75" customHeight="1"/>
    <row r="1507" ht="15.75" customHeight="1"/>
    <row r="1508" ht="15.75" customHeight="1"/>
    <row r="1509" ht="15.75" customHeight="1"/>
    <row r="1510" ht="15.75" customHeight="1"/>
    <row r="1511" ht="15.75" customHeight="1"/>
    <row r="1512" ht="15.75" customHeight="1"/>
    <row r="1513" ht="15.75" customHeight="1"/>
    <row r="1514" ht="15.75" customHeight="1"/>
    <row r="1515" ht="15.75" customHeight="1"/>
    <row r="1516" ht="15.75" customHeight="1"/>
    <row r="1517" ht="15.75" customHeight="1"/>
    <row r="1518" ht="15.75" customHeight="1"/>
    <row r="1519" ht="15.75" customHeight="1"/>
    <row r="1520" ht="15.75" customHeight="1"/>
    <row r="1521" ht="15.75" customHeight="1"/>
    <row r="1522" ht="15.75" customHeight="1"/>
    <row r="1523" ht="15.75" customHeight="1"/>
    <row r="1524" ht="15.75" customHeight="1"/>
    <row r="1525" ht="15.75" customHeight="1"/>
    <row r="1526" ht="15.75" customHeight="1"/>
    <row r="1527" ht="15.75" customHeight="1"/>
    <row r="1528" ht="15.75" customHeight="1"/>
    <row r="1529" ht="15.75" customHeight="1"/>
    <row r="1530" ht="15.75" customHeight="1"/>
    <row r="1531" ht="15.75" customHeight="1"/>
    <row r="1532" ht="15.75" customHeight="1"/>
    <row r="1533" ht="15.75" customHeight="1"/>
    <row r="1534" ht="15.75" customHeight="1"/>
    <row r="1535" ht="15.75" customHeight="1"/>
    <row r="1536" ht="15.75" customHeight="1"/>
    <row r="1537" ht="15.75" customHeight="1"/>
    <row r="1538" ht="15.75" customHeight="1"/>
    <row r="1539" ht="15.75" customHeight="1"/>
    <row r="1540" ht="15.75" customHeight="1"/>
    <row r="1541" ht="15.75" customHeight="1"/>
    <row r="1542" ht="15.75" customHeight="1"/>
    <row r="1543" ht="15.75" customHeight="1"/>
    <row r="1544" ht="15.75" customHeight="1"/>
    <row r="1545" ht="15.75" customHeight="1"/>
    <row r="1546" ht="15.75" customHeight="1"/>
    <row r="1547" ht="15.75" customHeight="1"/>
    <row r="1548" ht="15.75" customHeight="1"/>
    <row r="1549" ht="15.75" customHeight="1"/>
    <row r="1550" ht="15.75" customHeight="1"/>
    <row r="1551" ht="15.75" customHeight="1"/>
    <row r="1552" ht="15.75" customHeight="1"/>
    <row r="1553" ht="15.75" customHeight="1"/>
    <row r="1554" ht="15.75" customHeight="1"/>
    <row r="1555" ht="15.75" customHeight="1"/>
    <row r="1556" ht="15.75" customHeight="1"/>
    <row r="1557" ht="15.75" customHeight="1"/>
    <row r="1558" ht="15.75" customHeight="1"/>
    <row r="1559" ht="15.75" customHeight="1"/>
    <row r="1560" ht="15.75" customHeight="1"/>
    <row r="1561" ht="15.75" customHeight="1"/>
    <row r="1562" ht="15.75" customHeight="1"/>
    <row r="1563" ht="15.75" customHeight="1"/>
    <row r="1564" ht="15.75" customHeight="1"/>
    <row r="1565" ht="15.75" customHeight="1"/>
    <row r="1566" ht="15.75" customHeight="1"/>
    <row r="1567" ht="15.75" customHeight="1"/>
    <row r="1568" ht="15.75" customHeight="1"/>
    <row r="1569" ht="15.75" customHeight="1"/>
    <row r="1570" ht="15.75" customHeight="1"/>
    <row r="1571" ht="15.75" customHeight="1"/>
    <row r="1572" ht="15.75" customHeight="1"/>
    <row r="1573" ht="15.75" customHeight="1"/>
    <row r="1574" ht="15.75" customHeight="1"/>
    <row r="1575" ht="15.75" customHeight="1"/>
    <row r="1576" ht="15.75" customHeight="1"/>
    <row r="1577" ht="15.75" customHeight="1"/>
    <row r="1578" ht="15.75" customHeight="1"/>
    <row r="1579" ht="15.75" customHeight="1"/>
    <row r="1580" ht="15.75" customHeight="1"/>
    <row r="1581" ht="15.75" customHeight="1"/>
    <row r="1582" ht="15.75" customHeight="1"/>
    <row r="1583" ht="15.75" customHeight="1"/>
    <row r="1584" ht="15.75" customHeight="1"/>
    <row r="1585" ht="15.75" customHeight="1"/>
    <row r="1586" ht="15.75" customHeight="1"/>
    <row r="1587" ht="15.75" customHeight="1"/>
    <row r="1588" ht="15.75" customHeight="1"/>
    <row r="1589" ht="15.75" customHeight="1"/>
    <row r="1590" ht="15.75" customHeight="1"/>
    <row r="1591" ht="15.75" customHeight="1"/>
    <row r="1592" ht="15.75" customHeight="1"/>
    <row r="1593" ht="15.75" customHeight="1"/>
    <row r="1594" ht="15.75" customHeight="1"/>
    <row r="1595" ht="15.75" customHeight="1"/>
    <row r="1596" ht="15.75" customHeight="1"/>
    <row r="1597" ht="15.75" customHeight="1"/>
    <row r="1598" ht="15.75" customHeight="1"/>
    <row r="1599" ht="15.75" customHeight="1"/>
    <row r="1600" ht="15.75" customHeight="1"/>
    <row r="1601" ht="15.75" customHeight="1"/>
    <row r="1602" ht="15.75" customHeight="1"/>
    <row r="1603" ht="15.75" customHeight="1"/>
    <row r="1604" ht="15.75" customHeight="1"/>
    <row r="1605" ht="15.75" customHeight="1"/>
    <row r="1606" ht="15.75" customHeight="1"/>
    <row r="1607" ht="15.75" customHeight="1"/>
    <row r="1608" ht="15.75" customHeight="1"/>
    <row r="1609" ht="15.75" customHeight="1"/>
    <row r="1610" ht="15.75" customHeight="1"/>
    <row r="1611" ht="15.75" customHeight="1"/>
    <row r="1612" ht="15.75" customHeight="1"/>
    <row r="1613" ht="15.75" customHeight="1"/>
    <row r="1614" ht="15.75" customHeight="1"/>
    <row r="1615" ht="15.75" customHeight="1"/>
    <row r="1616" ht="15.75" customHeight="1"/>
    <row r="1617" ht="15.75" customHeight="1"/>
    <row r="1618" ht="15.75" customHeight="1"/>
    <row r="1619" ht="15.75" customHeight="1"/>
    <row r="1620" ht="15.75" customHeight="1"/>
    <row r="1621" ht="15.75" customHeight="1"/>
    <row r="1622" ht="15.75" customHeight="1"/>
    <row r="1623" ht="15.75" customHeight="1"/>
    <row r="1624" ht="15.75" customHeight="1"/>
    <row r="1625" ht="15.75" customHeight="1"/>
    <row r="1626" ht="15.75" customHeight="1"/>
    <row r="1627" ht="15.75" customHeight="1"/>
    <row r="1628" ht="15.75" customHeight="1"/>
    <row r="1629" ht="15.75" customHeight="1"/>
    <row r="1630" ht="15.75" customHeight="1"/>
    <row r="1631" ht="15.75" customHeight="1"/>
    <row r="1632" ht="15.75" customHeight="1"/>
    <row r="1633" ht="15.75" customHeight="1"/>
    <row r="1634" ht="15.75" customHeight="1"/>
    <row r="1635" ht="15.75" customHeight="1"/>
    <row r="1636" ht="15.75" customHeight="1"/>
    <row r="1637" ht="15.75" customHeight="1"/>
    <row r="1638" ht="15.75" customHeight="1"/>
    <row r="1639" ht="15.75" customHeight="1"/>
    <row r="1640" ht="15.75" customHeight="1"/>
    <row r="1641" ht="15.75" customHeight="1"/>
    <row r="1642" ht="15.75" customHeight="1"/>
    <row r="1643" ht="15.75" customHeight="1"/>
    <row r="1644" ht="15.75" customHeight="1"/>
    <row r="1645" ht="15.75" customHeight="1"/>
    <row r="1646" ht="15.75" customHeight="1"/>
    <row r="1647" ht="15.75" customHeight="1"/>
    <row r="1648" ht="15.75" customHeight="1"/>
    <row r="1649" ht="15.75" customHeight="1"/>
    <row r="1650" ht="15.75" customHeight="1"/>
    <row r="1651" ht="15.75" customHeight="1"/>
    <row r="1652" ht="15.75" customHeight="1"/>
    <row r="1653" ht="15.75" customHeight="1"/>
    <row r="1654" ht="15.75" customHeight="1"/>
    <row r="1655" ht="15.75" customHeight="1"/>
    <row r="1656" ht="15.75" customHeight="1"/>
    <row r="1657" ht="15.75" customHeight="1"/>
    <row r="1658" ht="15.75" customHeight="1"/>
    <row r="1659" ht="15.75" customHeight="1"/>
    <row r="1660" ht="15.75" customHeight="1"/>
    <row r="1661" ht="15.75" customHeight="1"/>
    <row r="1662" ht="15.75" customHeight="1"/>
    <row r="1663" ht="15.75" customHeight="1"/>
    <row r="1664" ht="15.75" customHeight="1"/>
    <row r="1665" ht="15.75" customHeight="1"/>
    <row r="1666" ht="15.75" customHeight="1"/>
    <row r="1667" ht="15.75" customHeight="1"/>
    <row r="1668" ht="15.75" customHeight="1"/>
    <row r="1669" ht="15.75" customHeight="1"/>
    <row r="1670" ht="15.75" customHeight="1"/>
    <row r="1671" ht="15.75" customHeight="1"/>
    <row r="1672" ht="15.75" customHeight="1"/>
    <row r="1673" ht="15.75" customHeight="1"/>
    <row r="1674" ht="15.75" customHeight="1"/>
    <row r="1675" ht="15.75" customHeight="1"/>
    <row r="1676" ht="15.75" customHeight="1"/>
    <row r="1677" ht="15.75" customHeight="1"/>
    <row r="1678" ht="15.75" customHeight="1"/>
    <row r="1679" ht="15.75" customHeight="1"/>
    <row r="1680" ht="15.75" customHeight="1"/>
    <row r="1681" ht="15.75" customHeight="1"/>
    <row r="1682" ht="15.75" customHeight="1"/>
    <row r="1683" ht="15.75" customHeight="1"/>
    <row r="1684" ht="15.75" customHeight="1"/>
    <row r="1685" ht="15.75" customHeight="1"/>
    <row r="1686" ht="15.75" customHeight="1"/>
    <row r="1687" ht="15.75" customHeight="1"/>
    <row r="1688" ht="15.75" customHeight="1"/>
    <row r="1689" ht="15.75" customHeight="1"/>
    <row r="1690" ht="15.75" customHeight="1"/>
    <row r="1691" ht="15.75" customHeight="1"/>
    <row r="1692" ht="15.75" customHeight="1"/>
    <row r="1693" ht="15.75" customHeight="1"/>
    <row r="1694" ht="15.75" customHeight="1"/>
    <row r="1695" ht="15.75" customHeight="1"/>
    <row r="1696" ht="15.75" customHeight="1"/>
    <row r="1697" ht="15.75" customHeight="1"/>
    <row r="1698" ht="15.75" customHeight="1"/>
    <row r="1699" ht="15.75" customHeight="1"/>
    <row r="1700" ht="15.75" customHeight="1"/>
    <row r="1701" ht="15.75" customHeight="1"/>
    <row r="1702" ht="15.75" customHeight="1"/>
    <row r="1703" ht="15.75" customHeight="1"/>
    <row r="1704" ht="15.75" customHeight="1"/>
    <row r="1705" ht="15.75" customHeight="1"/>
    <row r="1706" ht="15.75" customHeight="1"/>
    <row r="1707" ht="15.75" customHeight="1"/>
    <row r="1708" ht="15.75" customHeight="1"/>
    <row r="1709" ht="15.75" customHeight="1"/>
    <row r="1710" ht="15.75" customHeight="1"/>
    <row r="1711" ht="15.75" customHeight="1"/>
    <row r="1712" ht="15.75" customHeight="1"/>
    <row r="1713" ht="15.75" customHeight="1"/>
    <row r="1714" ht="15.75" customHeight="1"/>
    <row r="1715" ht="15.75" customHeight="1"/>
    <row r="1716" ht="15.75" customHeight="1"/>
    <row r="1717" ht="15.75" customHeight="1"/>
    <row r="1718" ht="15.75" customHeight="1"/>
    <row r="1719" ht="15.75" customHeight="1"/>
    <row r="1720" ht="15.75" customHeight="1"/>
    <row r="1721" ht="15.75" customHeight="1"/>
    <row r="1722" ht="15.75" customHeight="1"/>
    <row r="1723" ht="15.75" customHeight="1"/>
    <row r="1724" ht="15.75" customHeight="1"/>
    <row r="1725" ht="15.75" customHeight="1"/>
    <row r="1726" ht="15.75" customHeight="1"/>
    <row r="1727" ht="15.75" customHeight="1"/>
    <row r="1728" ht="15.75" customHeight="1"/>
    <row r="1729" ht="15.75" customHeight="1"/>
    <row r="1730" ht="15.75" customHeight="1"/>
    <row r="1731" ht="15.75" customHeight="1"/>
    <row r="1732" ht="15.75" customHeight="1"/>
    <row r="1733" ht="15.75" customHeight="1"/>
    <row r="1734" ht="15.75" customHeight="1"/>
    <row r="1735" ht="15.75" customHeight="1"/>
    <row r="1736" ht="15.75" customHeight="1"/>
    <row r="1737" ht="15.75" customHeight="1"/>
    <row r="1738" ht="15.75" customHeight="1"/>
    <row r="1739" ht="15.75" customHeight="1"/>
    <row r="1740" ht="15.75" customHeight="1"/>
    <row r="1741" ht="15.75" customHeight="1"/>
    <row r="1742" ht="15.75" customHeight="1"/>
    <row r="1743" ht="15.75" customHeight="1"/>
    <row r="1744" ht="15.75" customHeight="1"/>
    <row r="1745" ht="15.75" customHeight="1"/>
    <row r="1746" ht="15.75" customHeight="1"/>
    <row r="1747" ht="15.75" customHeight="1"/>
    <row r="1748" ht="15.75" customHeight="1"/>
    <row r="1749" ht="15.75" customHeight="1"/>
    <row r="1750" ht="15.75" customHeight="1"/>
    <row r="1751" ht="15.75" customHeight="1"/>
    <row r="1752" ht="15.75" customHeight="1"/>
    <row r="1753" ht="15.75" customHeight="1"/>
    <row r="1754" ht="15.75" customHeight="1"/>
    <row r="1755" ht="15.75" customHeight="1"/>
    <row r="1756" ht="15.75" customHeight="1"/>
    <row r="1757" ht="15.75" customHeight="1"/>
    <row r="1758" ht="15.75" customHeight="1"/>
    <row r="1759" ht="15.75" customHeight="1"/>
    <row r="1760" ht="15.75" customHeight="1"/>
    <row r="1761" ht="15.75" customHeight="1"/>
    <row r="1762" ht="15.75" customHeight="1"/>
    <row r="1763" ht="15.75" customHeight="1"/>
    <row r="1764" ht="15.75" customHeight="1"/>
    <row r="1765" ht="15.75" customHeight="1"/>
    <row r="1766" ht="15.75" customHeight="1"/>
    <row r="1767" ht="15.75" customHeight="1"/>
    <row r="1768" ht="15.75" customHeight="1"/>
    <row r="1769" ht="15.75" customHeight="1"/>
    <row r="1770" ht="15.75" customHeight="1"/>
    <row r="1771" ht="15.75" customHeight="1"/>
    <row r="1772" ht="15.75" customHeight="1"/>
    <row r="1773" ht="15.75" customHeight="1"/>
    <row r="1774" ht="15.75" customHeight="1"/>
    <row r="1775" ht="15.75" customHeight="1"/>
    <row r="1776" ht="15.75" customHeight="1"/>
    <row r="1777" ht="15.75" customHeight="1"/>
    <row r="1778" ht="15.75" customHeight="1"/>
    <row r="1779" ht="15.75" customHeight="1"/>
    <row r="1780" ht="15.75" customHeight="1"/>
    <row r="1781" ht="15.75" customHeight="1"/>
    <row r="1782" ht="15.75" customHeight="1"/>
    <row r="1783" ht="15.75" customHeight="1"/>
    <row r="1784" ht="15.75" customHeight="1"/>
    <row r="1785" ht="15.75" customHeight="1"/>
    <row r="1786" ht="15.75" customHeight="1"/>
    <row r="1787" ht="15.75" customHeight="1"/>
    <row r="1788" ht="15.75" customHeight="1"/>
    <row r="1789" ht="15.75" customHeight="1"/>
    <row r="1790" ht="15.75" customHeight="1"/>
    <row r="1791" ht="15.75" customHeight="1"/>
    <row r="1792" ht="15.75" customHeight="1"/>
    <row r="1793" ht="15.75" customHeight="1"/>
    <row r="1794" ht="15.75" customHeight="1"/>
    <row r="1795" ht="15.75" customHeight="1"/>
    <row r="1796" ht="15.75" customHeight="1"/>
    <row r="1797" ht="15.75" customHeight="1"/>
    <row r="1798" ht="15.75" customHeight="1"/>
    <row r="1799" ht="15.75" customHeight="1"/>
    <row r="1800" ht="15.75" customHeight="1"/>
    <row r="1801" ht="15.75" customHeight="1"/>
    <row r="1802" ht="15.75" customHeight="1"/>
    <row r="1803" ht="15.75" customHeight="1"/>
    <row r="1804" ht="15.75" customHeight="1"/>
    <row r="1805" ht="15.75" customHeight="1"/>
    <row r="1806" ht="15.75" customHeight="1"/>
    <row r="1807" ht="15.75" customHeight="1"/>
    <row r="1808" ht="15.75" customHeight="1"/>
    <row r="1809" ht="15.75" customHeight="1"/>
    <row r="1810" ht="15.75" customHeight="1"/>
    <row r="1811" ht="15.75" customHeight="1"/>
    <row r="1812" ht="15.75" customHeight="1"/>
    <row r="1813" ht="15.75" customHeight="1"/>
    <row r="1814" ht="15.75" customHeight="1"/>
    <row r="1815" ht="15.75" customHeight="1"/>
    <row r="1816" ht="15.75" customHeight="1"/>
    <row r="1817" ht="15.75" customHeight="1"/>
    <row r="1818" ht="15.75" customHeight="1"/>
    <row r="1819" ht="15.75" customHeight="1"/>
    <row r="1820" ht="15.75" customHeight="1"/>
    <row r="1821" ht="15.75" customHeight="1"/>
    <row r="1822" ht="15.75" customHeight="1"/>
    <row r="1823" ht="15.75" customHeight="1"/>
    <row r="1824" ht="15.75" customHeight="1"/>
    <row r="1825" ht="15.75" customHeight="1"/>
    <row r="1826" ht="15.75" customHeight="1"/>
    <row r="1827" ht="15.75" customHeight="1"/>
    <row r="1828" ht="15.75" customHeight="1"/>
    <row r="1829" ht="15.75" customHeight="1"/>
    <row r="1830" ht="15.75" customHeight="1"/>
    <row r="1831" ht="15.75" customHeight="1"/>
    <row r="1832" ht="15.75" customHeight="1"/>
    <row r="1833" ht="15.75" customHeight="1"/>
    <row r="1834" ht="15.75" customHeight="1"/>
    <row r="1835" ht="15.75" customHeight="1"/>
    <row r="1836" ht="15.75" customHeight="1"/>
    <row r="1837" ht="15.75" customHeight="1"/>
    <row r="1838" ht="15.75" customHeight="1"/>
    <row r="1839" ht="15.75" customHeight="1"/>
    <row r="1840" ht="15.75" customHeight="1"/>
    <row r="1841" ht="15.75" customHeight="1"/>
    <row r="1842" ht="15.75" customHeight="1"/>
    <row r="1843" ht="15.75" customHeight="1"/>
    <row r="1844" ht="15.75" customHeight="1"/>
    <row r="1845" ht="15.75" customHeight="1"/>
    <row r="1846" ht="15.75" customHeight="1"/>
    <row r="1847" ht="15.75" customHeight="1"/>
    <row r="1848" ht="15.75" customHeight="1"/>
    <row r="1849" ht="15.75" customHeight="1"/>
    <row r="1850" ht="15.75" customHeight="1"/>
    <row r="1851" ht="15.75" customHeight="1"/>
    <row r="1852" ht="15.75" customHeight="1"/>
    <row r="1853" ht="15.75" customHeight="1"/>
    <row r="1854" ht="15.75" customHeight="1"/>
    <row r="1855" ht="15.75" customHeight="1"/>
    <row r="1856" ht="15.75" customHeight="1"/>
    <row r="1857" ht="15.75" customHeight="1"/>
    <row r="1858" ht="15.75" customHeight="1"/>
    <row r="1859" ht="15.75" customHeight="1"/>
    <row r="1860" ht="15.75" customHeight="1"/>
    <row r="1861" ht="15.75" customHeight="1"/>
    <row r="1862" ht="15.75" customHeight="1"/>
    <row r="1863" ht="15.75" customHeight="1"/>
    <row r="1864" ht="15.75" customHeight="1"/>
    <row r="1865" ht="15.75" customHeight="1"/>
    <row r="1866" ht="15.75" customHeight="1"/>
    <row r="1867" ht="15.75" customHeight="1"/>
    <row r="1868" ht="15.75" customHeight="1"/>
    <row r="1869" ht="15.75" customHeight="1"/>
    <row r="1870" ht="15.75" customHeight="1"/>
    <row r="1871" ht="15.75" customHeight="1"/>
    <row r="1872" ht="15.75" customHeight="1"/>
    <row r="1873" ht="15.75" customHeight="1"/>
    <row r="1874" ht="15.75" customHeight="1"/>
    <row r="1875" ht="15.75" customHeight="1"/>
    <row r="1876" ht="15.75" customHeight="1"/>
    <row r="1877" ht="15.75" customHeight="1"/>
    <row r="1878" ht="15.75" customHeight="1"/>
    <row r="1879" ht="15.75" customHeight="1"/>
    <row r="1880" ht="15.75" customHeight="1"/>
    <row r="1881" ht="15.75" customHeight="1"/>
    <row r="1882" ht="15.75" customHeight="1"/>
    <row r="1883" ht="15.75" customHeight="1"/>
    <row r="1884" ht="15.75" customHeight="1"/>
    <row r="1885" ht="15.75" customHeight="1"/>
    <row r="1886" ht="15.75" customHeight="1"/>
    <row r="1887" ht="15.75" customHeight="1"/>
    <row r="1888" ht="15.75" customHeight="1"/>
    <row r="1889" ht="15.75" customHeight="1"/>
    <row r="1890" ht="15.75" customHeight="1"/>
    <row r="1891" ht="15.75" customHeight="1"/>
    <row r="1892" ht="15.75" customHeight="1"/>
    <row r="1893" ht="15.75" customHeight="1"/>
    <row r="1894" ht="15.75" customHeight="1"/>
    <row r="1895" ht="15.75" customHeight="1"/>
    <row r="1896" ht="15.75" customHeight="1"/>
    <row r="1897" ht="15.75" customHeight="1"/>
    <row r="1898" ht="15.75" customHeight="1"/>
    <row r="1899" ht="15.75" customHeight="1"/>
    <row r="1900" ht="15.75" customHeight="1"/>
    <row r="1901" ht="15.75" customHeight="1"/>
    <row r="1902" ht="15.75" customHeight="1"/>
    <row r="1903" ht="15.75" customHeight="1"/>
    <row r="1904" ht="15.75" customHeight="1"/>
    <row r="1905" ht="15.75" customHeight="1"/>
    <row r="1906" ht="15.75" customHeight="1"/>
    <row r="1907" ht="15.75" customHeight="1"/>
    <row r="1908" ht="15.75" customHeight="1"/>
    <row r="1909" ht="15.75" customHeight="1"/>
    <row r="1910" ht="15.75" customHeight="1"/>
    <row r="1911" ht="15.75" customHeight="1"/>
    <row r="1912" ht="15.75" customHeight="1"/>
    <row r="1913" ht="15.75" customHeight="1"/>
    <row r="1914" ht="15.75" customHeight="1"/>
    <row r="1915" ht="15.75" customHeight="1"/>
    <row r="1916" ht="15.75" customHeight="1"/>
    <row r="1917" ht="15.75" customHeight="1"/>
    <row r="1918" ht="15.75" customHeight="1"/>
    <row r="1919" ht="15.75" customHeight="1"/>
    <row r="1920" ht="15.75" customHeight="1"/>
    <row r="1921" ht="15.75" customHeight="1"/>
    <row r="1922" ht="15.75" customHeight="1"/>
    <row r="1923" ht="15.75" customHeight="1"/>
    <row r="1924" ht="15.75" customHeight="1"/>
    <row r="1925" ht="15.75" customHeight="1"/>
    <row r="1926" ht="15.75" customHeight="1"/>
    <row r="1927" ht="15.75" customHeight="1"/>
    <row r="1928" ht="15.75" customHeight="1"/>
    <row r="1929" ht="15.75" customHeight="1"/>
    <row r="1930" ht="15.75" customHeight="1"/>
    <row r="1931" ht="15.75" customHeight="1"/>
    <row r="1932" ht="15.75" customHeight="1"/>
    <row r="1933" ht="15.75" customHeight="1"/>
    <row r="1934" ht="15.75" customHeight="1"/>
    <row r="1935" ht="15.75" customHeight="1"/>
    <row r="1936" ht="15.75" customHeight="1"/>
    <row r="1937" ht="15.75" customHeight="1"/>
    <row r="1938" ht="15.75" customHeight="1"/>
    <row r="1939" ht="15.75" customHeight="1"/>
    <row r="1940" ht="15.75" customHeight="1"/>
    <row r="1941" ht="15.75" customHeight="1"/>
    <row r="1942" ht="15.75" customHeight="1"/>
    <row r="1943" ht="15.75" customHeight="1"/>
    <row r="1944" ht="15.75" customHeight="1"/>
    <row r="1945" ht="15.75" customHeight="1"/>
    <row r="1946" ht="15.75" customHeight="1"/>
    <row r="1947" ht="15.75" customHeight="1"/>
    <row r="1948" ht="15.75" customHeight="1"/>
    <row r="1949" ht="15.75" customHeight="1"/>
    <row r="1950" ht="15.75" customHeight="1"/>
    <row r="1951" ht="15.75" customHeight="1"/>
    <row r="1952" ht="15.75" customHeight="1"/>
    <row r="1953" ht="15.75" customHeight="1"/>
    <row r="1954" ht="15.75" customHeight="1"/>
    <row r="1955" ht="15.75" customHeight="1"/>
    <row r="1956" ht="15.75" customHeight="1"/>
    <row r="1957" ht="15.75" customHeight="1"/>
    <row r="1958" ht="15.75" customHeight="1"/>
    <row r="1959" ht="15.75" customHeight="1"/>
    <row r="1960" ht="15.75" customHeight="1"/>
    <row r="1961" ht="15.75" customHeight="1"/>
    <row r="1962" ht="15.75" customHeight="1"/>
    <row r="1963" ht="15.75" customHeight="1"/>
    <row r="1964" ht="15.75" customHeight="1"/>
    <row r="1965" ht="15.75" customHeight="1"/>
    <row r="1966" ht="15.75" customHeight="1"/>
    <row r="1967" ht="15.75" customHeight="1"/>
    <row r="1968" ht="15.75" customHeight="1"/>
    <row r="1969" ht="15.75" customHeight="1"/>
    <row r="1970" ht="15.75" customHeight="1"/>
    <row r="1971" ht="15.75" customHeight="1"/>
    <row r="1972" ht="15.75" customHeight="1"/>
    <row r="1973" ht="15.75" customHeight="1"/>
    <row r="1974" ht="15.75" customHeight="1"/>
    <row r="1975" ht="15.75" customHeight="1"/>
    <row r="1976" ht="15.75" customHeight="1"/>
    <row r="1977" ht="15.75" customHeight="1"/>
    <row r="1978" ht="15.75" customHeight="1"/>
    <row r="1979" ht="15.75" customHeight="1"/>
    <row r="1980" ht="15.75" customHeight="1"/>
    <row r="1981" ht="15.75" customHeight="1"/>
    <row r="1982" ht="15.75" customHeight="1"/>
    <row r="1983" ht="15.75" customHeight="1"/>
    <row r="1984" ht="15.75" customHeight="1"/>
    <row r="1985" ht="15.75" customHeight="1"/>
    <row r="1986" ht="15.75" customHeight="1"/>
    <row r="1987" ht="15.75" customHeight="1"/>
    <row r="1988" ht="15.75" customHeight="1"/>
    <row r="1989" ht="15.75" customHeight="1"/>
    <row r="1990" ht="15.75" customHeight="1"/>
    <row r="1991" ht="15.75" customHeight="1"/>
    <row r="1992" ht="15.75" customHeight="1"/>
    <row r="1993" ht="15.75" customHeight="1"/>
    <row r="1994" ht="15.75" customHeight="1"/>
    <row r="1995" ht="15.75" customHeight="1"/>
    <row r="1996" ht="15.75" customHeight="1"/>
    <row r="1997" ht="15.75" customHeight="1"/>
    <row r="1998" ht="15.75" customHeight="1"/>
    <row r="1999" ht="15.75" customHeight="1"/>
    <row r="2000" ht="15.75" customHeight="1"/>
    <row r="2001" ht="15.75" customHeight="1"/>
    <row r="2002" ht="15.75" customHeight="1"/>
    <row r="2003" ht="15.75" customHeight="1"/>
    <row r="2004" ht="15.75" customHeight="1"/>
    <row r="2005" ht="15.75" customHeight="1"/>
    <row r="2006" ht="15.75" customHeight="1"/>
    <row r="2007" ht="15.75" customHeight="1"/>
  </sheetData>
  <mergeCells count="1">
    <mergeCell ref="D3:E3"/>
  </mergeCells>
  <hyperlinks>
    <hyperlink ref="D29" r:id="rId1" display="Kevin.Shultis@smithgroup.com"/>
  </hyperlinks>
  <printOptions/>
  <pageMargins left="0.75" right="0.6" top="1" bottom="1" header="0.5" footer="0.5"/>
  <pageSetup horizontalDpi="600" verticalDpi="600" orientation="landscape" scale="96" r:id="rId3"/>
  <drawing r:id="rId2"/>
</worksheet>
</file>

<file path=xl/worksheets/sheet2.xml><?xml version="1.0" encoding="utf-8"?>
<worksheet xmlns="http://schemas.openxmlformats.org/spreadsheetml/2006/main" xmlns:r="http://schemas.openxmlformats.org/officeDocument/2006/relationships">
  <dimension ref="B4:B42"/>
  <sheetViews>
    <sheetView workbookViewId="0" topLeftCell="A1">
      <selection activeCell="A1" sqref="A1"/>
    </sheetView>
  </sheetViews>
  <sheetFormatPr defaultColWidth="9.140625" defaultRowHeight="12.75"/>
  <cols>
    <col min="1" max="1" width="17.421875" style="170" customWidth="1"/>
    <col min="2" max="2" width="67.8515625" style="175" customWidth="1"/>
    <col min="3" max="3" width="1.421875" style="170" customWidth="1"/>
    <col min="4" max="16384" width="9.140625" style="170" customWidth="1"/>
  </cols>
  <sheetData>
    <row r="4" ht="15">
      <c r="B4" s="169">
        <f>+Report_Date</f>
        <v>37951</v>
      </c>
    </row>
    <row r="5" ht="12" customHeight="1">
      <c r="B5" s="171"/>
    </row>
    <row r="6" ht="12" customHeight="1">
      <c r="B6" s="171"/>
    </row>
    <row r="7" ht="15">
      <c r="B7" s="171" t="str">
        <f>+Client_Name</f>
        <v>Kevin Shultis</v>
      </c>
    </row>
    <row r="8" ht="15">
      <c r="B8" s="171" t="str">
        <f>Client_Company</f>
        <v>SmithGroup</v>
      </c>
    </row>
    <row r="9" ht="15">
      <c r="B9" s="171" t="str">
        <f>+Client_Address1</f>
        <v>500 Griswold, Suite 200</v>
      </c>
    </row>
    <row r="10" ht="15">
      <c r="B10" s="171" t="str">
        <f>IF(ISBLANK(Client_Address2),Client_City&amp;", "&amp;Client_State&amp;" "&amp;Client_Zip,Client_Address2)</f>
        <v>Detroit, MI 48226</v>
      </c>
    </row>
    <row r="11" ht="9.75" customHeight="1">
      <c r="B11" s="171">
        <f>IF(ISBLANK(Client_Address2),"",Client_City&amp;", "&amp;Client_State&amp;" "&amp;Client_Zip)</f>
      </c>
    </row>
    <row r="12" s="173" customFormat="1" ht="15.75">
      <c r="B12" s="172" t="str">
        <f>+Project_Name1</f>
        <v>Oakland University</v>
      </c>
    </row>
    <row r="13" s="173" customFormat="1" ht="15.75">
      <c r="B13" s="172" t="str">
        <f>+Project_Name2</f>
        <v>Meadow Brook Hall Renovations</v>
      </c>
    </row>
    <row r="14" ht="15">
      <c r="B14" s="172" t="str">
        <f>Project_Location</f>
        <v>Rochester, Michigan</v>
      </c>
    </row>
    <row r="15" ht="15.75" customHeight="1">
      <c r="B15" s="171"/>
    </row>
    <row r="16" ht="15">
      <c r="B16" s="171" t="str">
        <f>"Dear "&amp;LEFT(Client_Name,FIND(" ",Client_Name)-1)&amp;","</f>
        <v>Dear Kevin,</v>
      </c>
    </row>
    <row r="17" ht="14.25" customHeight="1">
      <c r="B17" s="171"/>
    </row>
    <row r="18" ht="31.5" customHeight="1">
      <c r="B18" s="171" t="str">
        <f>"We enclose herewith our recommended "&amp;estimate_stage&amp;" "&amp;estimate_type&amp;" for the project mentioned above."</f>
        <v>We enclose herewith our recommended Concept Parametric Budget for the project mentioned above.</v>
      </c>
    </row>
    <row r="19" ht="12.75" customHeight="1">
      <c r="B19" s="171"/>
    </row>
    <row r="20" ht="15">
      <c r="B20" s="171" t="e">
        <f>"The total recommended budget estimate amounts to $"&amp;ROUND(Section_53,1)&amp;" ."</f>
        <v>#REF!</v>
      </c>
    </row>
    <row r="21" ht="15">
      <c r="B21" s="171"/>
    </row>
    <row r="22" ht="15">
      <c r="B22" s="171" t="s">
        <v>316</v>
      </c>
    </row>
    <row r="23" ht="15">
      <c r="B23" s="171"/>
    </row>
    <row r="24" ht="15">
      <c r="B24" s="171" t="s">
        <v>242</v>
      </c>
    </row>
    <row r="25" ht="15">
      <c r="B25" s="171" t="s">
        <v>232</v>
      </c>
    </row>
    <row r="26" ht="15.75" customHeight="1">
      <c r="B26" s="171" t="s">
        <v>300</v>
      </c>
    </row>
    <row r="27" ht="15.75" customHeight="1">
      <c r="B27" s="171" t="s">
        <v>233</v>
      </c>
    </row>
    <row r="28" ht="15.75" customHeight="1">
      <c r="B28" s="171"/>
    </row>
    <row r="29" ht="15.75" customHeight="1">
      <c r="B29" s="171"/>
    </row>
    <row r="30" ht="9" customHeight="1">
      <c r="B30" s="171"/>
    </row>
    <row r="31" ht="30" customHeight="1">
      <c r="B31" s="171" t="s">
        <v>317</v>
      </c>
    </row>
    <row r="32" ht="7.5" customHeight="1">
      <c r="B32" s="171"/>
    </row>
    <row r="33" ht="15">
      <c r="B33" s="171" t="s">
        <v>318</v>
      </c>
    </row>
    <row r="34" ht="15">
      <c r="B34" s="171"/>
    </row>
    <row r="35" ht="15">
      <c r="B35" s="171"/>
    </row>
    <row r="36" ht="15">
      <c r="B36" s="171"/>
    </row>
    <row r="37" ht="15">
      <c r="B37" s="171" t="str">
        <f>Lead_Estimator</f>
        <v>Jack Edwartoski, PE</v>
      </c>
    </row>
    <row r="38" ht="15">
      <c r="B38" s="171" t="str">
        <f>' Project Info'!Q20</f>
        <v>Director of Facility Economics</v>
      </c>
    </row>
    <row r="39" ht="8.25" customHeight="1">
      <c r="B39" s="171"/>
    </row>
    <row r="40" ht="15">
      <c r="B40" s="171" t="s">
        <v>319</v>
      </c>
    </row>
    <row r="41" ht="15">
      <c r="B41" s="174">
        <f>Project_Number</f>
        <v>21868</v>
      </c>
    </row>
    <row r="42" ht="15">
      <c r="B42" s="171"/>
    </row>
  </sheetData>
  <printOptions/>
  <pageMargins left="0.75" right="0.75" top="0.5" bottom="0.5" header="0.5" footer="0.5"/>
  <pageSetup fitToHeight="0" horizontalDpi="1200" verticalDpi="1200" orientation="portrait" scale="90" r:id="rId3"/>
  <headerFooter alignWithMargins="0">
    <oddFooter>&amp;L&amp;"Helvetica,Bold Italic"&amp;9&amp;F, &amp;A&amp;C&amp;"Helvetica,Bold"&amp;9Page &amp;P of &amp;N&amp;R&amp;"Helvetica,Bold Italic"&amp;9&amp;D, &amp;T</oddFooter>
  </headerFooter>
  <legacyDrawing r:id="rId2"/>
  <oleObjects>
    <oleObject progId="Paint.Picture" shapeId="626706" r:id="rId1"/>
  </oleObjects>
</worksheet>
</file>

<file path=xl/worksheets/sheet3.xml><?xml version="1.0" encoding="utf-8"?>
<worksheet xmlns="http://schemas.openxmlformats.org/spreadsheetml/2006/main" xmlns:r="http://schemas.openxmlformats.org/officeDocument/2006/relationships">
  <sheetPr>
    <pageSetUpPr fitToPage="1"/>
  </sheetPr>
  <dimension ref="A1:H183"/>
  <sheetViews>
    <sheetView workbookViewId="0" topLeftCell="A1">
      <selection activeCell="A1" sqref="A1"/>
    </sheetView>
  </sheetViews>
  <sheetFormatPr defaultColWidth="9.140625" defaultRowHeight="12.75"/>
  <cols>
    <col min="1" max="1" width="2.7109375" style="166" customWidth="1"/>
    <col min="2" max="2" width="5.28125" style="167" customWidth="1"/>
    <col min="3" max="3" width="2.7109375" style="167" customWidth="1"/>
    <col min="4" max="4" width="72.140625" style="168" customWidth="1"/>
    <col min="5" max="5" width="4.421875" style="168" customWidth="1"/>
    <col min="6" max="6" width="5.00390625" style="168" customWidth="1"/>
    <col min="7" max="7" width="1.421875" style="167" customWidth="1"/>
    <col min="8" max="16384" width="9.140625" style="167" customWidth="1"/>
  </cols>
  <sheetData>
    <row r="1" spans="1:6" s="121" customFormat="1" ht="18">
      <c r="A1" s="188" t="str">
        <f>+Project_Name1</f>
        <v>Oakland University</v>
      </c>
      <c r="B1" s="189"/>
      <c r="C1" s="189"/>
      <c r="D1" s="189"/>
      <c r="E1" s="160"/>
      <c r="F1" s="161" t="s">
        <v>342</v>
      </c>
    </row>
    <row r="2" spans="1:7" s="127" customFormat="1" ht="12.75">
      <c r="A2" s="188" t="str">
        <f>+Project_Name2</f>
        <v>Meadow Brook Hall Renovations</v>
      </c>
      <c r="B2" s="123"/>
      <c r="C2" s="123"/>
      <c r="D2" s="123"/>
      <c r="E2" s="443">
        <f>Report_Date</f>
        <v>37951</v>
      </c>
      <c r="F2" s="443"/>
      <c r="G2" s="124">
        <f>Report_Date</f>
        <v>37951</v>
      </c>
    </row>
    <row r="3" spans="1:7" s="127" customFormat="1" ht="12.75">
      <c r="A3" s="188" t="str">
        <f>Project_Location</f>
        <v>Rochester, Michigan</v>
      </c>
      <c r="B3" s="123"/>
      <c r="C3" s="123"/>
      <c r="D3" s="123"/>
      <c r="E3" s="27"/>
      <c r="F3" s="27"/>
      <c r="G3" s="162"/>
    </row>
    <row r="4" spans="1:7" s="162" customFormat="1" ht="15" customHeight="1">
      <c r="A4" s="190" t="s">
        <v>320</v>
      </c>
      <c r="B4" s="191"/>
      <c r="C4" s="191"/>
      <c r="D4" s="191"/>
      <c r="E4" s="163"/>
      <c r="F4" s="164"/>
      <c r="G4" s="128"/>
    </row>
    <row r="5" spans="1:7" s="193" customFormat="1" ht="12.75" customHeight="1">
      <c r="A5" s="192"/>
      <c r="B5" s="192"/>
      <c r="C5" s="192"/>
      <c r="D5" s="192"/>
      <c r="E5" s="134"/>
      <c r="F5" s="165"/>
      <c r="G5" s="134"/>
    </row>
    <row r="6" spans="1:7" s="193" customFormat="1" ht="12.75" customHeight="1">
      <c r="A6" s="192"/>
      <c r="B6" s="192"/>
      <c r="C6" s="192"/>
      <c r="D6" s="192"/>
      <c r="E6" s="134"/>
      <c r="F6" s="165"/>
      <c r="G6" s="134"/>
    </row>
    <row r="7" spans="1:6" s="193" customFormat="1" ht="12.75">
      <c r="A7" s="194"/>
      <c r="C7" s="193" t="s">
        <v>301</v>
      </c>
      <c r="D7" s="195"/>
      <c r="E7" s="196"/>
      <c r="F7" s="196"/>
    </row>
    <row r="8" spans="1:6" s="193" customFormat="1" ht="12.75">
      <c r="A8" s="197"/>
      <c r="D8" s="198"/>
      <c r="E8" s="198"/>
      <c r="F8" s="198"/>
    </row>
    <row r="9" spans="1:6" s="193" customFormat="1" ht="12.75">
      <c r="A9" s="197"/>
      <c r="D9" s="198" t="s">
        <v>302</v>
      </c>
      <c r="E9" s="198"/>
      <c r="F9" s="198"/>
    </row>
    <row r="10" spans="1:6" s="193" customFormat="1" ht="12.75">
      <c r="A10" s="197"/>
      <c r="D10" s="198" t="s">
        <v>303</v>
      </c>
      <c r="E10" s="198"/>
      <c r="F10" s="198"/>
    </row>
    <row r="11" spans="1:6" s="193" customFormat="1" ht="12.75">
      <c r="A11" s="197"/>
      <c r="D11" s="198" t="s">
        <v>304</v>
      </c>
      <c r="E11" s="198"/>
      <c r="F11" s="198"/>
    </row>
    <row r="12" spans="1:6" s="193" customFormat="1" ht="12.75">
      <c r="A12" s="197"/>
      <c r="D12" s="193" t="s">
        <v>306</v>
      </c>
      <c r="E12" s="198"/>
      <c r="F12" s="198"/>
    </row>
    <row r="13" spans="1:6" s="193" customFormat="1" ht="12.75">
      <c r="A13" s="197"/>
      <c r="D13" s="195"/>
      <c r="E13" s="196"/>
      <c r="F13" s="196"/>
    </row>
    <row r="14" spans="1:8" s="193" customFormat="1" ht="12.75">
      <c r="A14" s="197"/>
      <c r="C14" s="199" t="s">
        <v>321</v>
      </c>
      <c r="D14" s="200"/>
      <c r="E14" s="134"/>
      <c r="F14" s="201"/>
      <c r="G14" s="134"/>
      <c r="H14" s="134"/>
    </row>
    <row r="15" spans="1:8" s="193" customFormat="1" ht="12.75">
      <c r="A15" s="197"/>
      <c r="D15" s="200"/>
      <c r="E15" s="134"/>
      <c r="F15" s="202"/>
      <c r="G15" s="134"/>
      <c r="H15" s="134"/>
    </row>
    <row r="16" spans="1:8" s="193" customFormat="1" ht="12.75">
      <c r="A16" s="197"/>
      <c r="D16" s="200" t="s">
        <v>323</v>
      </c>
      <c r="E16" s="200"/>
      <c r="F16" s="200"/>
      <c r="G16" s="200"/>
      <c r="H16" s="134"/>
    </row>
    <row r="17" spans="1:8" s="193" customFormat="1" ht="12.75">
      <c r="A17" s="197"/>
      <c r="D17" s="200"/>
      <c r="E17" s="200"/>
      <c r="F17" s="200"/>
      <c r="G17" s="200"/>
      <c r="H17" s="134"/>
    </row>
    <row r="18" spans="1:8" s="193" customFormat="1" ht="12.75">
      <c r="A18" s="197"/>
      <c r="D18" s="200" t="str">
        <f>"Construction duration of"&amp;" "&amp;(Construction_Period)&amp;" months should be included as a part of this change."</f>
        <v>Construction duration of 24 months should be included as a part of this change.</v>
      </c>
      <c r="E18" s="200"/>
      <c r="F18" s="200"/>
      <c r="G18" s="200"/>
      <c r="H18" s="134"/>
    </row>
    <row r="19" spans="1:8" s="193" customFormat="1" ht="12.75">
      <c r="A19" s="197"/>
      <c r="D19" s="200"/>
      <c r="E19" s="200"/>
      <c r="F19" s="202"/>
      <c r="G19" s="134"/>
      <c r="H19" s="134"/>
    </row>
    <row r="20" spans="1:8" s="193" customFormat="1" ht="25.5">
      <c r="A20" s="197"/>
      <c r="D20" s="200" t="s">
        <v>307</v>
      </c>
      <c r="E20" s="200"/>
      <c r="F20" s="202"/>
      <c r="G20" s="134"/>
      <c r="H20" s="203"/>
    </row>
    <row r="21" spans="1:8" s="193" customFormat="1" ht="12.75">
      <c r="A21" s="197"/>
      <c r="D21" s="200"/>
      <c r="E21" s="200"/>
      <c r="F21" s="202"/>
      <c r="G21" s="134"/>
      <c r="H21" s="134"/>
    </row>
    <row r="22" spans="1:8" s="193" customFormat="1" ht="12.75">
      <c r="A22" s="197"/>
      <c r="C22" s="204"/>
      <c r="D22" s="205" t="s">
        <v>322</v>
      </c>
      <c r="E22" s="200"/>
      <c r="F22" s="202"/>
      <c r="G22" s="134"/>
      <c r="H22" s="134"/>
    </row>
    <row r="23" spans="1:8" s="193" customFormat="1" ht="12.75">
      <c r="A23" s="197"/>
      <c r="C23" s="204"/>
      <c r="D23" s="205"/>
      <c r="E23" s="200"/>
      <c r="F23" s="202"/>
      <c r="G23" s="134"/>
      <c r="H23" s="134"/>
    </row>
    <row r="24" spans="1:8" s="193" customFormat="1" ht="38.25">
      <c r="A24" s="197"/>
      <c r="C24" s="204"/>
      <c r="D24" s="205" t="s">
        <v>308</v>
      </c>
      <c r="E24" s="200"/>
      <c r="F24" s="202"/>
      <c r="G24" s="134"/>
      <c r="H24" s="134"/>
    </row>
    <row r="25" spans="1:8" s="193" customFormat="1" ht="12.75">
      <c r="A25" s="197"/>
      <c r="C25" s="204"/>
      <c r="D25" s="205"/>
      <c r="E25" s="200"/>
      <c r="F25" s="202"/>
      <c r="G25" s="134"/>
      <c r="H25" s="134"/>
    </row>
    <row r="26" spans="1:8" s="193" customFormat="1" ht="12.75">
      <c r="A26" s="197"/>
      <c r="C26" s="204"/>
      <c r="D26" s="205" t="e">
        <f>"Since this is a smaller contract of scope that might be considered 'exotic' in nature and necessitating the use of a limited field of 'expert' contractors or artisans, a Bid Contingency has been increased to "&amp;#REF!*100&amp;" % for risk mitigation and increased profit."</f>
        <v>#REF!</v>
      </c>
      <c r="E26" s="200"/>
      <c r="F26" s="202"/>
      <c r="G26" s="134"/>
      <c r="H26" s="134"/>
    </row>
    <row r="27" spans="1:8" s="193" customFormat="1" ht="12.75">
      <c r="A27" s="197"/>
      <c r="C27" s="204"/>
      <c r="D27" s="205"/>
      <c r="E27" s="200"/>
      <c r="F27" s="202"/>
      <c r="G27" s="134"/>
      <c r="H27" s="134"/>
    </row>
    <row r="28" spans="1:8" s="193" customFormat="1" ht="42.75" customHeight="1">
      <c r="A28" s="197"/>
      <c r="C28" s="444" t="s">
        <v>309</v>
      </c>
      <c r="D28" s="444"/>
      <c r="E28" s="200"/>
      <c r="F28" s="202"/>
      <c r="G28" s="134"/>
      <c r="H28" s="134"/>
    </row>
    <row r="29" spans="1:8" s="193" customFormat="1" ht="12.75">
      <c r="A29" s="197"/>
      <c r="C29" s="204"/>
      <c r="D29" s="204"/>
      <c r="E29" s="200"/>
      <c r="F29" s="202"/>
      <c r="G29" s="134"/>
      <c r="H29" s="134"/>
    </row>
    <row r="30" spans="1:8" s="193" customFormat="1" ht="12.75">
      <c r="A30" s="197"/>
      <c r="E30" s="199"/>
      <c r="F30" s="199"/>
      <c r="G30" s="199"/>
      <c r="H30" s="199"/>
    </row>
    <row r="31" spans="1:6" s="193" customFormat="1" ht="12.75">
      <c r="A31" s="197"/>
      <c r="E31" s="195"/>
      <c r="F31" s="195"/>
    </row>
    <row r="32" spans="1:6" s="193" customFormat="1" ht="12.75">
      <c r="A32" s="197"/>
      <c r="E32" s="195"/>
      <c r="F32" s="195"/>
    </row>
    <row r="33" spans="1:6" s="193" customFormat="1" ht="12.75">
      <c r="A33" s="197"/>
      <c r="D33" s="195"/>
      <c r="E33" s="195"/>
      <c r="F33" s="195"/>
    </row>
    <row r="34" spans="1:6" s="193" customFormat="1" ht="12.75">
      <c r="A34" s="197"/>
      <c r="D34" s="195"/>
      <c r="E34" s="195"/>
      <c r="F34" s="195"/>
    </row>
    <row r="35" spans="1:6" s="193" customFormat="1" ht="12.75">
      <c r="A35" s="197"/>
      <c r="D35" s="195"/>
      <c r="E35" s="195"/>
      <c r="F35" s="195"/>
    </row>
    <row r="36" spans="1:6" s="193" customFormat="1" ht="12.75">
      <c r="A36" s="197"/>
      <c r="D36" s="195"/>
      <c r="E36" s="195"/>
      <c r="F36" s="195"/>
    </row>
    <row r="37" spans="1:6" s="193" customFormat="1" ht="12.75">
      <c r="A37" s="197"/>
      <c r="D37" s="195"/>
      <c r="E37" s="195"/>
      <c r="F37" s="195"/>
    </row>
    <row r="38" spans="1:6" s="193" customFormat="1" ht="12.75">
      <c r="A38" s="197"/>
      <c r="D38" s="195"/>
      <c r="E38" s="195"/>
      <c r="F38" s="195"/>
    </row>
    <row r="39" spans="1:6" s="193" customFormat="1" ht="12.75">
      <c r="A39" s="197"/>
      <c r="D39" s="195"/>
      <c r="E39" s="195"/>
      <c r="F39" s="195"/>
    </row>
    <row r="40" spans="1:6" s="193" customFormat="1" ht="12.75">
      <c r="A40" s="197"/>
      <c r="D40" s="195"/>
      <c r="E40" s="195"/>
      <c r="F40" s="195"/>
    </row>
    <row r="41" spans="1:6" s="193" customFormat="1" ht="12.75">
      <c r="A41" s="197"/>
      <c r="D41" s="195"/>
      <c r="E41" s="195"/>
      <c r="F41" s="195"/>
    </row>
    <row r="42" spans="1:6" s="207" customFormat="1" ht="14.25">
      <c r="A42" s="206"/>
      <c r="D42" s="208"/>
      <c r="E42" s="208"/>
      <c r="F42" s="208"/>
    </row>
    <row r="43" spans="1:6" s="207" customFormat="1" ht="14.25">
      <c r="A43" s="206"/>
      <c r="D43" s="208"/>
      <c r="E43" s="208"/>
      <c r="F43" s="208"/>
    </row>
    <row r="44" spans="1:6" s="207" customFormat="1" ht="14.25">
      <c r="A44" s="206"/>
      <c r="D44" s="208"/>
      <c r="E44" s="208"/>
      <c r="F44" s="208"/>
    </row>
    <row r="45" spans="1:6" s="207" customFormat="1" ht="14.25">
      <c r="A45" s="206"/>
      <c r="D45" s="208"/>
      <c r="E45" s="208"/>
      <c r="F45" s="208"/>
    </row>
    <row r="46" spans="1:6" s="207" customFormat="1" ht="14.25">
      <c r="A46" s="206"/>
      <c r="D46" s="208"/>
      <c r="E46" s="208"/>
      <c r="F46" s="208"/>
    </row>
    <row r="47" spans="1:6" s="207" customFormat="1" ht="14.25">
      <c r="A47" s="206"/>
      <c r="D47" s="208"/>
      <c r="E47" s="208"/>
      <c r="F47" s="208"/>
    </row>
    <row r="48" spans="1:6" s="207" customFormat="1" ht="14.25">
      <c r="A48" s="206"/>
      <c r="D48" s="208"/>
      <c r="E48" s="208"/>
      <c r="F48" s="208"/>
    </row>
    <row r="49" spans="1:6" s="207" customFormat="1" ht="14.25">
      <c r="A49" s="206"/>
      <c r="D49" s="208"/>
      <c r="E49" s="208"/>
      <c r="F49" s="208"/>
    </row>
    <row r="50" spans="1:6" s="207" customFormat="1" ht="14.25">
      <c r="A50" s="206"/>
      <c r="D50" s="208"/>
      <c r="E50" s="208"/>
      <c r="F50" s="208"/>
    </row>
    <row r="51" spans="1:6" s="207" customFormat="1" ht="14.25">
      <c r="A51" s="206"/>
      <c r="D51" s="208"/>
      <c r="E51" s="208"/>
      <c r="F51" s="208"/>
    </row>
    <row r="52" spans="1:6" s="207" customFormat="1" ht="14.25">
      <c r="A52" s="206"/>
      <c r="D52" s="208"/>
      <c r="E52" s="208"/>
      <c r="F52" s="208"/>
    </row>
    <row r="53" spans="1:6" s="207" customFormat="1" ht="14.25">
      <c r="A53" s="206"/>
      <c r="D53" s="208"/>
      <c r="E53" s="208"/>
      <c r="F53" s="208"/>
    </row>
    <row r="54" spans="1:6" s="207" customFormat="1" ht="14.25">
      <c r="A54" s="206"/>
      <c r="D54" s="208"/>
      <c r="E54" s="208"/>
      <c r="F54" s="208"/>
    </row>
    <row r="55" spans="1:6" s="207" customFormat="1" ht="14.25">
      <c r="A55" s="206"/>
      <c r="D55" s="208"/>
      <c r="E55" s="208"/>
      <c r="F55" s="208"/>
    </row>
    <row r="56" spans="1:6" s="207" customFormat="1" ht="14.25">
      <c r="A56" s="206"/>
      <c r="D56" s="208"/>
      <c r="E56" s="208"/>
      <c r="F56" s="208"/>
    </row>
    <row r="57" spans="1:6" s="207" customFormat="1" ht="14.25">
      <c r="A57" s="206"/>
      <c r="D57" s="208"/>
      <c r="E57" s="208"/>
      <c r="F57" s="208"/>
    </row>
    <row r="58" spans="1:6" s="207" customFormat="1" ht="14.25">
      <c r="A58" s="206"/>
      <c r="D58" s="208"/>
      <c r="E58" s="208"/>
      <c r="F58" s="208"/>
    </row>
    <row r="59" spans="1:6" s="207" customFormat="1" ht="14.25">
      <c r="A59" s="206"/>
      <c r="D59" s="208"/>
      <c r="E59" s="208"/>
      <c r="F59" s="208"/>
    </row>
    <row r="60" spans="1:6" s="207" customFormat="1" ht="14.25">
      <c r="A60" s="206"/>
      <c r="D60" s="208"/>
      <c r="E60" s="208"/>
      <c r="F60" s="208"/>
    </row>
    <row r="61" spans="1:6" s="207" customFormat="1" ht="14.25">
      <c r="A61" s="206"/>
      <c r="D61" s="208"/>
      <c r="E61" s="208"/>
      <c r="F61" s="208"/>
    </row>
    <row r="62" spans="1:6" s="207" customFormat="1" ht="14.25">
      <c r="A62" s="206"/>
      <c r="D62" s="208"/>
      <c r="E62" s="208"/>
      <c r="F62" s="208"/>
    </row>
    <row r="63" spans="1:6" s="207" customFormat="1" ht="14.25">
      <c r="A63" s="206"/>
      <c r="D63" s="208"/>
      <c r="E63" s="208"/>
      <c r="F63" s="208"/>
    </row>
    <row r="64" spans="1:6" s="207" customFormat="1" ht="14.25">
      <c r="A64" s="206"/>
      <c r="D64" s="208"/>
      <c r="E64" s="208"/>
      <c r="F64" s="208"/>
    </row>
    <row r="65" spans="1:6" s="207" customFormat="1" ht="14.25">
      <c r="A65" s="206"/>
      <c r="D65" s="208"/>
      <c r="E65" s="208"/>
      <c r="F65" s="208"/>
    </row>
    <row r="66" spans="1:6" s="207" customFormat="1" ht="14.25">
      <c r="A66" s="206"/>
      <c r="D66" s="208"/>
      <c r="E66" s="208"/>
      <c r="F66" s="208"/>
    </row>
    <row r="67" spans="1:6" s="207" customFormat="1" ht="14.25">
      <c r="A67" s="206"/>
      <c r="D67" s="208"/>
      <c r="E67" s="208"/>
      <c r="F67" s="208"/>
    </row>
    <row r="68" spans="1:6" s="207" customFormat="1" ht="14.25">
      <c r="A68" s="206"/>
      <c r="D68" s="208"/>
      <c r="E68" s="208"/>
      <c r="F68" s="208"/>
    </row>
    <row r="69" spans="1:6" s="207" customFormat="1" ht="14.25">
      <c r="A69" s="206"/>
      <c r="D69" s="208"/>
      <c r="E69" s="208"/>
      <c r="F69" s="208"/>
    </row>
    <row r="70" spans="1:6" s="207" customFormat="1" ht="14.25">
      <c r="A70" s="206"/>
      <c r="D70" s="208"/>
      <c r="E70" s="208"/>
      <c r="F70" s="208"/>
    </row>
    <row r="71" spans="1:6" s="207" customFormat="1" ht="14.25">
      <c r="A71" s="206"/>
      <c r="D71" s="208"/>
      <c r="E71" s="208"/>
      <c r="F71" s="208"/>
    </row>
    <row r="72" spans="1:6" s="207" customFormat="1" ht="14.25">
      <c r="A72" s="206"/>
      <c r="D72" s="208"/>
      <c r="E72" s="208"/>
      <c r="F72" s="208"/>
    </row>
    <row r="73" spans="1:6" s="207" customFormat="1" ht="14.25">
      <c r="A73" s="206"/>
      <c r="D73" s="208"/>
      <c r="E73" s="208"/>
      <c r="F73" s="208"/>
    </row>
    <row r="74" spans="1:6" s="207" customFormat="1" ht="14.25">
      <c r="A74" s="206"/>
      <c r="D74" s="208"/>
      <c r="E74" s="208"/>
      <c r="F74" s="208"/>
    </row>
    <row r="75" spans="1:6" s="207" customFormat="1" ht="14.25">
      <c r="A75" s="206"/>
      <c r="D75" s="208"/>
      <c r="E75" s="208"/>
      <c r="F75" s="208"/>
    </row>
    <row r="76" spans="1:6" s="207" customFormat="1" ht="14.25">
      <c r="A76" s="206"/>
      <c r="D76" s="208"/>
      <c r="E76" s="208"/>
      <c r="F76" s="208"/>
    </row>
    <row r="77" spans="1:6" s="207" customFormat="1" ht="14.25">
      <c r="A77" s="206"/>
      <c r="D77" s="208"/>
      <c r="E77" s="208"/>
      <c r="F77" s="208"/>
    </row>
    <row r="78" spans="1:6" s="207" customFormat="1" ht="14.25">
      <c r="A78" s="206"/>
      <c r="D78" s="208"/>
      <c r="E78" s="208"/>
      <c r="F78" s="208"/>
    </row>
    <row r="79" spans="1:6" s="207" customFormat="1" ht="14.25">
      <c r="A79" s="206"/>
      <c r="D79" s="208"/>
      <c r="E79" s="208"/>
      <c r="F79" s="208"/>
    </row>
    <row r="80" spans="1:6" s="207" customFormat="1" ht="14.25">
      <c r="A80" s="206"/>
      <c r="D80" s="208"/>
      <c r="E80" s="208"/>
      <c r="F80" s="208"/>
    </row>
    <row r="81" spans="1:6" s="207" customFormat="1" ht="14.25">
      <c r="A81" s="206"/>
      <c r="D81" s="208"/>
      <c r="E81" s="208"/>
      <c r="F81" s="208"/>
    </row>
    <row r="82" spans="1:6" s="207" customFormat="1" ht="14.25">
      <c r="A82" s="206"/>
      <c r="D82" s="208"/>
      <c r="E82" s="208"/>
      <c r="F82" s="208"/>
    </row>
    <row r="83" spans="1:6" s="207" customFormat="1" ht="14.25">
      <c r="A83" s="206"/>
      <c r="D83" s="208"/>
      <c r="E83" s="208"/>
      <c r="F83" s="208"/>
    </row>
    <row r="84" spans="1:6" s="207" customFormat="1" ht="14.25">
      <c r="A84" s="206"/>
      <c r="D84" s="208"/>
      <c r="E84" s="208"/>
      <c r="F84" s="208"/>
    </row>
    <row r="85" spans="1:6" s="207" customFormat="1" ht="14.25">
      <c r="A85" s="206"/>
      <c r="D85" s="208"/>
      <c r="E85" s="208"/>
      <c r="F85" s="208"/>
    </row>
    <row r="86" spans="1:6" s="207" customFormat="1" ht="14.25">
      <c r="A86" s="206"/>
      <c r="D86" s="208"/>
      <c r="E86" s="208"/>
      <c r="F86" s="208"/>
    </row>
    <row r="87" spans="1:6" s="207" customFormat="1" ht="14.25">
      <c r="A87" s="206"/>
      <c r="D87" s="208"/>
      <c r="E87" s="208"/>
      <c r="F87" s="208"/>
    </row>
    <row r="88" spans="1:6" s="207" customFormat="1" ht="14.25">
      <c r="A88" s="206"/>
      <c r="D88" s="208"/>
      <c r="E88" s="208"/>
      <c r="F88" s="208"/>
    </row>
    <row r="89" spans="1:6" s="207" customFormat="1" ht="14.25">
      <c r="A89" s="206"/>
      <c r="D89" s="208"/>
      <c r="E89" s="208"/>
      <c r="F89" s="208"/>
    </row>
    <row r="90" spans="1:6" s="207" customFormat="1" ht="14.25">
      <c r="A90" s="206"/>
      <c r="D90" s="208"/>
      <c r="E90" s="208"/>
      <c r="F90" s="208"/>
    </row>
    <row r="91" spans="1:6" s="207" customFormat="1" ht="14.25">
      <c r="A91" s="206"/>
      <c r="D91" s="208"/>
      <c r="E91" s="208"/>
      <c r="F91" s="208"/>
    </row>
    <row r="92" spans="1:6" s="207" customFormat="1" ht="14.25">
      <c r="A92" s="206"/>
      <c r="D92" s="208"/>
      <c r="E92" s="208"/>
      <c r="F92" s="208"/>
    </row>
    <row r="93" spans="1:6" s="207" customFormat="1" ht="14.25">
      <c r="A93" s="206"/>
      <c r="D93" s="208"/>
      <c r="E93" s="208"/>
      <c r="F93" s="208"/>
    </row>
    <row r="94" spans="1:6" s="207" customFormat="1" ht="14.25">
      <c r="A94" s="206"/>
      <c r="D94" s="208"/>
      <c r="E94" s="208"/>
      <c r="F94" s="208"/>
    </row>
    <row r="95" spans="1:6" s="207" customFormat="1" ht="14.25">
      <c r="A95" s="206"/>
      <c r="D95" s="208"/>
      <c r="E95" s="208"/>
      <c r="F95" s="208"/>
    </row>
    <row r="96" spans="1:6" s="207" customFormat="1" ht="14.25">
      <c r="A96" s="206"/>
      <c r="D96" s="208"/>
      <c r="E96" s="208"/>
      <c r="F96" s="208"/>
    </row>
    <row r="97" spans="1:6" s="207" customFormat="1" ht="14.25">
      <c r="A97" s="206"/>
      <c r="D97" s="208"/>
      <c r="E97" s="208"/>
      <c r="F97" s="208"/>
    </row>
    <row r="98" spans="1:6" s="207" customFormat="1" ht="14.25">
      <c r="A98" s="206"/>
      <c r="D98" s="208"/>
      <c r="E98" s="208"/>
      <c r="F98" s="208"/>
    </row>
    <row r="99" spans="1:6" s="207" customFormat="1" ht="14.25">
      <c r="A99" s="206"/>
      <c r="D99" s="208"/>
      <c r="E99" s="208"/>
      <c r="F99" s="208"/>
    </row>
    <row r="100" spans="1:6" s="207" customFormat="1" ht="14.25">
      <c r="A100" s="206"/>
      <c r="D100" s="208"/>
      <c r="E100" s="208"/>
      <c r="F100" s="208"/>
    </row>
    <row r="101" spans="1:6" s="207" customFormat="1" ht="14.25">
      <c r="A101" s="206"/>
      <c r="D101" s="208"/>
      <c r="E101" s="208"/>
      <c r="F101" s="208"/>
    </row>
    <row r="102" spans="1:6" s="207" customFormat="1" ht="14.25">
      <c r="A102" s="206"/>
      <c r="D102" s="208"/>
      <c r="E102" s="208"/>
      <c r="F102" s="208"/>
    </row>
    <row r="103" spans="1:6" s="207" customFormat="1" ht="14.25">
      <c r="A103" s="206"/>
      <c r="D103" s="208"/>
      <c r="E103" s="208"/>
      <c r="F103" s="208"/>
    </row>
    <row r="104" spans="1:6" s="207" customFormat="1" ht="14.25">
      <c r="A104" s="206"/>
      <c r="D104" s="208"/>
      <c r="E104" s="208"/>
      <c r="F104" s="208"/>
    </row>
    <row r="105" spans="1:6" s="207" customFormat="1" ht="14.25">
      <c r="A105" s="206"/>
      <c r="D105" s="208"/>
      <c r="E105" s="208"/>
      <c r="F105" s="208"/>
    </row>
    <row r="106" spans="1:6" s="207" customFormat="1" ht="14.25">
      <c r="A106" s="206"/>
      <c r="D106" s="208"/>
      <c r="E106" s="208"/>
      <c r="F106" s="208"/>
    </row>
    <row r="107" spans="1:6" s="207" customFormat="1" ht="14.25">
      <c r="A107" s="206"/>
      <c r="D107" s="208"/>
      <c r="E107" s="208"/>
      <c r="F107" s="208"/>
    </row>
    <row r="108" spans="1:6" s="207" customFormat="1" ht="14.25">
      <c r="A108" s="206"/>
      <c r="D108" s="208"/>
      <c r="E108" s="208"/>
      <c r="F108" s="208"/>
    </row>
    <row r="109" spans="1:6" s="207" customFormat="1" ht="14.25">
      <c r="A109" s="206"/>
      <c r="D109" s="208"/>
      <c r="E109" s="208"/>
      <c r="F109" s="208"/>
    </row>
    <row r="110" spans="1:6" s="207" customFormat="1" ht="14.25">
      <c r="A110" s="206"/>
      <c r="D110" s="208"/>
      <c r="E110" s="208"/>
      <c r="F110" s="208"/>
    </row>
    <row r="111" spans="1:6" s="207" customFormat="1" ht="14.25">
      <c r="A111" s="206"/>
      <c r="D111" s="208"/>
      <c r="E111" s="208"/>
      <c r="F111" s="208"/>
    </row>
    <row r="112" spans="1:6" s="207" customFormat="1" ht="14.25">
      <c r="A112" s="206"/>
      <c r="D112" s="208"/>
      <c r="E112" s="208"/>
      <c r="F112" s="208"/>
    </row>
    <row r="113" spans="1:6" s="207" customFormat="1" ht="14.25">
      <c r="A113" s="206"/>
      <c r="D113" s="208"/>
      <c r="E113" s="208"/>
      <c r="F113" s="208"/>
    </row>
    <row r="114" spans="1:6" s="207" customFormat="1" ht="14.25">
      <c r="A114" s="206"/>
      <c r="D114" s="208"/>
      <c r="E114" s="208"/>
      <c r="F114" s="208"/>
    </row>
    <row r="115" spans="1:6" s="207" customFormat="1" ht="14.25">
      <c r="A115" s="206"/>
      <c r="D115" s="208"/>
      <c r="E115" s="208"/>
      <c r="F115" s="208"/>
    </row>
    <row r="116" spans="1:6" s="207" customFormat="1" ht="14.25">
      <c r="A116" s="206"/>
      <c r="D116" s="208"/>
      <c r="E116" s="208"/>
      <c r="F116" s="208"/>
    </row>
    <row r="117" spans="1:6" s="207" customFormat="1" ht="14.25">
      <c r="A117" s="206"/>
      <c r="D117" s="208"/>
      <c r="E117" s="208"/>
      <c r="F117" s="208"/>
    </row>
    <row r="118" spans="1:6" s="207" customFormat="1" ht="14.25">
      <c r="A118" s="206"/>
      <c r="D118" s="208"/>
      <c r="E118" s="208"/>
      <c r="F118" s="208"/>
    </row>
    <row r="119" spans="1:6" s="207" customFormat="1" ht="14.25">
      <c r="A119" s="206"/>
      <c r="D119" s="208"/>
      <c r="E119" s="208"/>
      <c r="F119" s="208"/>
    </row>
    <row r="120" spans="1:6" s="207" customFormat="1" ht="14.25">
      <c r="A120" s="206"/>
      <c r="D120" s="208"/>
      <c r="E120" s="208"/>
      <c r="F120" s="208"/>
    </row>
    <row r="121" spans="1:6" s="207" customFormat="1" ht="14.25">
      <c r="A121" s="206"/>
      <c r="D121" s="208"/>
      <c r="E121" s="208"/>
      <c r="F121" s="208"/>
    </row>
    <row r="122" spans="1:6" s="207" customFormat="1" ht="14.25">
      <c r="A122" s="206"/>
      <c r="D122" s="208"/>
      <c r="E122" s="208"/>
      <c r="F122" s="208"/>
    </row>
    <row r="123" spans="1:6" s="207" customFormat="1" ht="14.25">
      <c r="A123" s="206"/>
      <c r="D123" s="208"/>
      <c r="E123" s="208"/>
      <c r="F123" s="208"/>
    </row>
    <row r="124" spans="1:6" s="207" customFormat="1" ht="14.25">
      <c r="A124" s="206"/>
      <c r="D124" s="208"/>
      <c r="E124" s="208"/>
      <c r="F124" s="208"/>
    </row>
    <row r="125" spans="1:6" s="207" customFormat="1" ht="14.25">
      <c r="A125" s="206"/>
      <c r="D125" s="208"/>
      <c r="E125" s="208"/>
      <c r="F125" s="208"/>
    </row>
    <row r="126" spans="1:6" s="207" customFormat="1" ht="14.25">
      <c r="A126" s="206"/>
      <c r="D126" s="208"/>
      <c r="E126" s="208"/>
      <c r="F126" s="208"/>
    </row>
    <row r="127" spans="1:6" s="207" customFormat="1" ht="14.25">
      <c r="A127" s="206"/>
      <c r="D127" s="208"/>
      <c r="E127" s="208"/>
      <c r="F127" s="208"/>
    </row>
    <row r="128" spans="1:6" s="207" customFormat="1" ht="14.25">
      <c r="A128" s="206"/>
      <c r="D128" s="208"/>
      <c r="E128" s="208"/>
      <c r="F128" s="208"/>
    </row>
    <row r="129" spans="1:6" s="207" customFormat="1" ht="14.25">
      <c r="A129" s="206"/>
      <c r="D129" s="208"/>
      <c r="E129" s="208"/>
      <c r="F129" s="208"/>
    </row>
    <row r="130" spans="1:6" s="207" customFormat="1" ht="14.25">
      <c r="A130" s="206"/>
      <c r="D130" s="208"/>
      <c r="E130" s="208"/>
      <c r="F130" s="208"/>
    </row>
    <row r="131" spans="1:6" s="207" customFormat="1" ht="14.25">
      <c r="A131" s="206"/>
      <c r="D131" s="208"/>
      <c r="E131" s="208"/>
      <c r="F131" s="208"/>
    </row>
    <row r="132" spans="1:6" s="207" customFormat="1" ht="14.25">
      <c r="A132" s="206"/>
      <c r="D132" s="208"/>
      <c r="E132" s="208"/>
      <c r="F132" s="208"/>
    </row>
    <row r="133" spans="1:6" s="207" customFormat="1" ht="14.25">
      <c r="A133" s="206"/>
      <c r="D133" s="208"/>
      <c r="E133" s="208"/>
      <c r="F133" s="208"/>
    </row>
    <row r="134" spans="1:6" s="207" customFormat="1" ht="14.25">
      <c r="A134" s="206"/>
      <c r="D134" s="208"/>
      <c r="E134" s="208"/>
      <c r="F134" s="208"/>
    </row>
    <row r="135" spans="1:6" s="207" customFormat="1" ht="14.25">
      <c r="A135" s="206"/>
      <c r="D135" s="208"/>
      <c r="E135" s="208"/>
      <c r="F135" s="208"/>
    </row>
    <row r="136" spans="1:6" s="207" customFormat="1" ht="14.25">
      <c r="A136" s="206"/>
      <c r="D136" s="208"/>
      <c r="E136" s="208"/>
      <c r="F136" s="208"/>
    </row>
    <row r="137" spans="1:6" s="207" customFormat="1" ht="14.25">
      <c r="A137" s="206"/>
      <c r="D137" s="208"/>
      <c r="E137" s="208"/>
      <c r="F137" s="208"/>
    </row>
    <row r="138" spans="1:6" s="207" customFormat="1" ht="14.25">
      <c r="A138" s="206"/>
      <c r="D138" s="208"/>
      <c r="E138" s="208"/>
      <c r="F138" s="208"/>
    </row>
    <row r="139" spans="1:6" s="207" customFormat="1" ht="14.25">
      <c r="A139" s="206"/>
      <c r="D139" s="208"/>
      <c r="E139" s="208"/>
      <c r="F139" s="208"/>
    </row>
    <row r="140" spans="1:6" s="207" customFormat="1" ht="14.25">
      <c r="A140" s="206"/>
      <c r="D140" s="208"/>
      <c r="E140" s="208"/>
      <c r="F140" s="208"/>
    </row>
    <row r="141" spans="1:6" s="207" customFormat="1" ht="14.25">
      <c r="A141" s="206"/>
      <c r="D141" s="208"/>
      <c r="E141" s="208"/>
      <c r="F141" s="208"/>
    </row>
    <row r="142" spans="1:6" s="207" customFormat="1" ht="14.25">
      <c r="A142" s="206"/>
      <c r="D142" s="208"/>
      <c r="E142" s="208"/>
      <c r="F142" s="208"/>
    </row>
    <row r="143" spans="1:6" s="207" customFormat="1" ht="14.25">
      <c r="A143" s="206"/>
      <c r="D143" s="208"/>
      <c r="E143" s="208"/>
      <c r="F143" s="208"/>
    </row>
    <row r="144" spans="1:6" s="207" customFormat="1" ht="14.25">
      <c r="A144" s="206"/>
      <c r="D144" s="208"/>
      <c r="E144" s="208"/>
      <c r="F144" s="208"/>
    </row>
    <row r="145" spans="1:6" s="207" customFormat="1" ht="14.25">
      <c r="A145" s="206"/>
      <c r="D145" s="208"/>
      <c r="E145" s="208"/>
      <c r="F145" s="208"/>
    </row>
    <row r="146" spans="1:6" s="207" customFormat="1" ht="14.25">
      <c r="A146" s="206"/>
      <c r="D146" s="208"/>
      <c r="E146" s="208"/>
      <c r="F146" s="208"/>
    </row>
    <row r="147" spans="1:6" s="207" customFormat="1" ht="14.25">
      <c r="A147" s="206"/>
      <c r="D147" s="208"/>
      <c r="E147" s="208"/>
      <c r="F147" s="208"/>
    </row>
    <row r="148" spans="1:6" s="207" customFormat="1" ht="14.25">
      <c r="A148" s="206"/>
      <c r="D148" s="208"/>
      <c r="E148" s="208"/>
      <c r="F148" s="208"/>
    </row>
    <row r="149" spans="1:6" s="207" customFormat="1" ht="14.25">
      <c r="A149" s="206"/>
      <c r="D149" s="208"/>
      <c r="E149" s="208"/>
      <c r="F149" s="208"/>
    </row>
    <row r="150" spans="1:6" s="207" customFormat="1" ht="14.25">
      <c r="A150" s="206"/>
      <c r="D150" s="208"/>
      <c r="E150" s="208"/>
      <c r="F150" s="208"/>
    </row>
    <row r="151" spans="1:6" s="207" customFormat="1" ht="14.25">
      <c r="A151" s="206"/>
      <c r="D151" s="208"/>
      <c r="E151" s="208"/>
      <c r="F151" s="208"/>
    </row>
    <row r="152" spans="1:6" s="207" customFormat="1" ht="14.25">
      <c r="A152" s="206"/>
      <c r="D152" s="208"/>
      <c r="E152" s="208"/>
      <c r="F152" s="208"/>
    </row>
    <row r="153" spans="1:6" s="207" customFormat="1" ht="14.25">
      <c r="A153" s="206"/>
      <c r="D153" s="208"/>
      <c r="E153" s="208"/>
      <c r="F153" s="208"/>
    </row>
    <row r="154" spans="1:6" s="207" customFormat="1" ht="14.25">
      <c r="A154" s="206"/>
      <c r="D154" s="208"/>
      <c r="E154" s="208"/>
      <c r="F154" s="208"/>
    </row>
    <row r="155" spans="1:6" s="207" customFormat="1" ht="14.25">
      <c r="A155" s="206"/>
      <c r="D155" s="208"/>
      <c r="E155" s="208"/>
      <c r="F155" s="208"/>
    </row>
    <row r="156" spans="1:6" s="207" customFormat="1" ht="14.25">
      <c r="A156" s="206"/>
      <c r="D156" s="208"/>
      <c r="E156" s="208"/>
      <c r="F156" s="208"/>
    </row>
    <row r="157" spans="1:6" s="207" customFormat="1" ht="14.25">
      <c r="A157" s="206"/>
      <c r="D157" s="208"/>
      <c r="E157" s="208"/>
      <c r="F157" s="208"/>
    </row>
    <row r="158" spans="1:6" s="207" customFormat="1" ht="14.25">
      <c r="A158" s="206"/>
      <c r="D158" s="208"/>
      <c r="E158" s="208"/>
      <c r="F158" s="208"/>
    </row>
    <row r="159" spans="1:6" s="207" customFormat="1" ht="14.25">
      <c r="A159" s="206"/>
      <c r="D159" s="208"/>
      <c r="E159" s="208"/>
      <c r="F159" s="208"/>
    </row>
    <row r="160" spans="1:6" s="207" customFormat="1" ht="14.25">
      <c r="A160" s="206"/>
      <c r="D160" s="208"/>
      <c r="E160" s="208"/>
      <c r="F160" s="208"/>
    </row>
    <row r="161" spans="1:6" s="207" customFormat="1" ht="14.25">
      <c r="A161" s="206"/>
      <c r="D161" s="208"/>
      <c r="E161" s="208"/>
      <c r="F161" s="208"/>
    </row>
    <row r="162" spans="1:6" s="207" customFormat="1" ht="14.25">
      <c r="A162" s="206"/>
      <c r="D162" s="208"/>
      <c r="E162" s="208"/>
      <c r="F162" s="208"/>
    </row>
    <row r="163" spans="1:6" s="207" customFormat="1" ht="14.25">
      <c r="A163" s="206"/>
      <c r="D163" s="208"/>
      <c r="E163" s="208"/>
      <c r="F163" s="208"/>
    </row>
    <row r="164" spans="1:6" s="207" customFormat="1" ht="14.25">
      <c r="A164" s="206"/>
      <c r="D164" s="208"/>
      <c r="E164" s="208"/>
      <c r="F164" s="208"/>
    </row>
    <row r="165" spans="1:6" s="207" customFormat="1" ht="14.25">
      <c r="A165" s="206"/>
      <c r="D165" s="208"/>
      <c r="E165" s="208"/>
      <c r="F165" s="208"/>
    </row>
    <row r="166" spans="1:6" s="207" customFormat="1" ht="14.25">
      <c r="A166" s="206"/>
      <c r="D166" s="208"/>
      <c r="E166" s="208"/>
      <c r="F166" s="208"/>
    </row>
    <row r="167" spans="1:6" s="207" customFormat="1" ht="14.25">
      <c r="A167" s="206"/>
      <c r="D167" s="208"/>
      <c r="E167" s="208"/>
      <c r="F167" s="208"/>
    </row>
    <row r="168" spans="1:6" s="207" customFormat="1" ht="14.25">
      <c r="A168" s="206"/>
      <c r="D168" s="208"/>
      <c r="E168" s="208"/>
      <c r="F168" s="208"/>
    </row>
    <row r="169" spans="1:6" s="207" customFormat="1" ht="14.25">
      <c r="A169" s="206"/>
      <c r="D169" s="208"/>
      <c r="E169" s="208"/>
      <c r="F169" s="208"/>
    </row>
    <row r="170" spans="1:6" s="207" customFormat="1" ht="14.25">
      <c r="A170" s="206"/>
      <c r="D170" s="208"/>
      <c r="E170" s="208"/>
      <c r="F170" s="208"/>
    </row>
    <row r="171" spans="1:6" s="207" customFormat="1" ht="14.25">
      <c r="A171" s="206"/>
      <c r="D171" s="208"/>
      <c r="E171" s="208"/>
      <c r="F171" s="208"/>
    </row>
    <row r="172" spans="1:6" s="207" customFormat="1" ht="14.25">
      <c r="A172" s="206"/>
      <c r="D172" s="208"/>
      <c r="E172" s="208"/>
      <c r="F172" s="208"/>
    </row>
    <row r="173" spans="1:6" s="207" customFormat="1" ht="14.25">
      <c r="A173" s="206"/>
      <c r="D173" s="208"/>
      <c r="E173" s="208"/>
      <c r="F173" s="208"/>
    </row>
    <row r="174" spans="1:6" s="207" customFormat="1" ht="14.25">
      <c r="A174" s="206"/>
      <c r="D174" s="208"/>
      <c r="E174" s="208"/>
      <c r="F174" s="208"/>
    </row>
    <row r="175" spans="1:6" s="207" customFormat="1" ht="14.25">
      <c r="A175" s="206"/>
      <c r="D175" s="208"/>
      <c r="E175" s="208"/>
      <c r="F175" s="208"/>
    </row>
    <row r="176" spans="1:6" s="207" customFormat="1" ht="14.25">
      <c r="A176" s="206"/>
      <c r="D176" s="208"/>
      <c r="E176" s="208"/>
      <c r="F176" s="208"/>
    </row>
    <row r="177" spans="1:6" s="207" customFormat="1" ht="14.25">
      <c r="A177" s="206"/>
      <c r="D177" s="208"/>
      <c r="E177" s="208"/>
      <c r="F177" s="208"/>
    </row>
    <row r="178" spans="1:6" s="207" customFormat="1" ht="14.25">
      <c r="A178" s="206"/>
      <c r="D178" s="208"/>
      <c r="E178" s="208"/>
      <c r="F178" s="208"/>
    </row>
    <row r="179" spans="1:6" s="207" customFormat="1" ht="14.25">
      <c r="A179" s="206"/>
      <c r="D179" s="208"/>
      <c r="E179" s="208"/>
      <c r="F179" s="208"/>
    </row>
    <row r="180" spans="1:6" s="207" customFormat="1" ht="14.25">
      <c r="A180" s="206"/>
      <c r="D180" s="208"/>
      <c r="E180" s="208"/>
      <c r="F180" s="208"/>
    </row>
    <row r="181" spans="1:6" s="207" customFormat="1" ht="14.25">
      <c r="A181" s="206"/>
      <c r="D181" s="208"/>
      <c r="E181" s="208"/>
      <c r="F181" s="208"/>
    </row>
    <row r="182" spans="1:6" s="207" customFormat="1" ht="14.25">
      <c r="A182" s="206"/>
      <c r="D182" s="208"/>
      <c r="E182" s="208"/>
      <c r="F182" s="208"/>
    </row>
    <row r="183" spans="1:6" s="207" customFormat="1" ht="14.25">
      <c r="A183" s="206"/>
      <c r="D183" s="208"/>
      <c r="E183" s="208"/>
      <c r="F183" s="208"/>
    </row>
  </sheetData>
  <mergeCells count="2">
    <mergeCell ref="E2:F2"/>
    <mergeCell ref="C28:D28"/>
  </mergeCells>
  <printOptions horizontalCentered="1"/>
  <pageMargins left="0.6" right="0.5" top="0.5" bottom="0.5" header="0.25" footer="0.25"/>
  <pageSetup fitToHeight="1" fitToWidth="1" horizontalDpi="1200" verticalDpi="1200" orientation="portrait" r:id="rId1"/>
  <headerFooter alignWithMargins="0">
    <oddFooter>&amp;L&amp;"Helvetica,Bold Italic"&amp;9&amp;F, &amp;A&amp;C&amp;"Helvetica,Bold"&amp;9Page &amp;P of &amp;N&amp;R&amp;"Helvetica,Bold Italic"&amp;9&amp;D, &amp;T
</oddFooter>
  </headerFooter>
</worksheet>
</file>

<file path=xl/worksheets/sheet4.xml><?xml version="1.0" encoding="utf-8"?>
<worksheet xmlns="http://schemas.openxmlformats.org/spreadsheetml/2006/main" xmlns:r="http://schemas.openxmlformats.org/officeDocument/2006/relationships">
  <sheetPr codeName="Sheet9"/>
  <dimension ref="A1:K242"/>
  <sheetViews>
    <sheetView tabSelected="1" view="pageBreakPreview" zoomScale="60" zoomScaleNormal="75" workbookViewId="0" topLeftCell="A1">
      <selection activeCell="J115" sqref="J115"/>
    </sheetView>
  </sheetViews>
  <sheetFormatPr defaultColWidth="8.421875" defaultRowHeight="12.75" customHeight="1"/>
  <cols>
    <col min="1" max="1" width="3.28125" style="158" customWidth="1"/>
    <col min="2" max="2" width="12.421875" style="67" customWidth="1"/>
    <col min="3" max="3" width="42.140625" style="67" customWidth="1"/>
    <col min="4" max="5" width="17.7109375" style="90" customWidth="1"/>
    <col min="6" max="6" width="17.7109375" style="67" hidden="1" customWidth="1"/>
    <col min="7" max="7" width="17.7109375" style="67" customWidth="1"/>
    <col min="8" max="8" width="0.9921875" style="67" customWidth="1"/>
    <col min="9" max="9" width="12.8515625" style="67" customWidth="1"/>
    <col min="10" max="10" width="11.421875" style="67" customWidth="1"/>
    <col min="11" max="16384" width="8.421875" style="67" customWidth="1"/>
  </cols>
  <sheetData>
    <row r="1" spans="1:8" s="121" customFormat="1" ht="18">
      <c r="A1" s="116" t="s">
        <v>295</v>
      </c>
      <c r="B1" s="117"/>
      <c r="C1" s="118"/>
      <c r="D1" s="341"/>
      <c r="E1" s="344"/>
      <c r="F1" s="64"/>
      <c r="G1" s="119" t="s">
        <v>88</v>
      </c>
      <c r="H1" s="120"/>
    </row>
    <row r="2" spans="1:8" s="127" customFormat="1" ht="12.75">
      <c r="A2" s="122" t="s">
        <v>305</v>
      </c>
      <c r="B2" s="123"/>
      <c r="C2" s="124"/>
      <c r="D2" s="342"/>
      <c r="E2" s="307"/>
      <c r="F2" s="72"/>
      <c r="G2" s="353">
        <v>37959</v>
      </c>
      <c r="H2" s="126"/>
    </row>
    <row r="3" spans="1:8" s="127" customFormat="1" ht="12.75">
      <c r="A3" s="122" t="s">
        <v>296</v>
      </c>
      <c r="B3" s="123"/>
      <c r="C3" s="124"/>
      <c r="D3" s="342"/>
      <c r="E3" s="345"/>
      <c r="F3" s="99"/>
      <c r="G3" s="125"/>
      <c r="H3" s="126"/>
    </row>
    <row r="4" spans="1:8" s="127" customFormat="1" ht="15" customHeight="1">
      <c r="A4" s="129" t="s">
        <v>294</v>
      </c>
      <c r="B4" s="130"/>
      <c r="C4" s="130"/>
      <c r="D4" s="424" t="s">
        <v>143</v>
      </c>
      <c r="E4" s="424" t="s">
        <v>143</v>
      </c>
      <c r="F4" s="425" t="s">
        <v>438</v>
      </c>
      <c r="G4" s="426" t="s">
        <v>535</v>
      </c>
      <c r="H4" s="131"/>
    </row>
    <row r="5" spans="1:8" ht="12.75">
      <c r="A5" s="132"/>
      <c r="B5" s="133"/>
      <c r="C5" s="134"/>
      <c r="D5" s="427" t="s">
        <v>533</v>
      </c>
      <c r="E5" s="428" t="s">
        <v>534</v>
      </c>
      <c r="F5" s="429"/>
      <c r="G5" s="430"/>
      <c r="H5" s="126"/>
    </row>
    <row r="6" spans="1:8" s="88" customFormat="1" ht="12.75" customHeight="1">
      <c r="A6" s="135" t="s">
        <v>148</v>
      </c>
      <c r="B6" s="150"/>
      <c r="C6" s="374"/>
      <c r="D6" s="431"/>
      <c r="E6" s="431"/>
      <c r="F6" s="432"/>
      <c r="G6" s="433"/>
      <c r="H6" s="375"/>
    </row>
    <row r="7" spans="1:8" s="88" customFormat="1" ht="12.75" customHeight="1">
      <c r="A7" s="138"/>
      <c r="B7" s="139" t="s">
        <v>371</v>
      </c>
      <c r="C7" s="139"/>
      <c r="D7" s="434"/>
      <c r="E7" s="386"/>
      <c r="F7" s="351"/>
      <c r="G7" s="387">
        <f>SUM(D37+E37)</f>
        <v>6277969.696428571</v>
      </c>
      <c r="H7" s="376"/>
    </row>
    <row r="8" spans="1:8" s="88" customFormat="1" ht="13.5" customHeight="1">
      <c r="A8" s="377"/>
      <c r="B8" s="143" t="s">
        <v>380</v>
      </c>
      <c r="C8" s="144"/>
      <c r="D8" s="391">
        <v>42635</v>
      </c>
      <c r="E8" s="373"/>
      <c r="F8" s="388"/>
      <c r="G8" s="350"/>
      <c r="H8" s="145"/>
    </row>
    <row r="9" spans="1:8" s="88" customFormat="1" ht="12.75" customHeight="1">
      <c r="A9" s="349"/>
      <c r="B9" s="143" t="s">
        <v>530</v>
      </c>
      <c r="C9" s="139"/>
      <c r="D9" s="391">
        <v>52322.32142857143</v>
      </c>
      <c r="E9" s="373"/>
      <c r="F9" s="388"/>
      <c r="G9" s="378"/>
      <c r="H9" s="376"/>
    </row>
    <row r="10" spans="1:8" s="88" customFormat="1" ht="13.5" customHeight="1">
      <c r="A10" s="349"/>
      <c r="B10" s="143" t="s">
        <v>382</v>
      </c>
      <c r="C10" s="144"/>
      <c r="D10" s="391">
        <v>180000</v>
      </c>
      <c r="E10" s="373"/>
      <c r="F10" s="389"/>
      <c r="G10" s="350"/>
      <c r="H10" s="145"/>
    </row>
    <row r="11" spans="1:8" s="88" customFormat="1" ht="13.5" customHeight="1">
      <c r="A11" s="349"/>
      <c r="B11" s="143" t="s">
        <v>383</v>
      </c>
      <c r="C11" s="144"/>
      <c r="D11" s="391">
        <v>30630</v>
      </c>
      <c r="E11" s="373"/>
      <c r="F11" s="388"/>
      <c r="G11" s="350"/>
      <c r="H11" s="145"/>
    </row>
    <row r="12" spans="1:8" s="88" customFormat="1" ht="13.5" customHeight="1">
      <c r="A12" s="349"/>
      <c r="B12" s="143" t="s">
        <v>384</v>
      </c>
      <c r="C12" s="144"/>
      <c r="D12" s="391">
        <v>26171.875000000004</v>
      </c>
      <c r="E12" s="373"/>
      <c r="F12" s="388"/>
      <c r="G12" s="350"/>
      <c r="H12" s="145"/>
    </row>
    <row r="13" spans="1:8" s="88" customFormat="1" ht="13.5" customHeight="1">
      <c r="A13" s="349"/>
      <c r="B13" s="143" t="s">
        <v>552</v>
      </c>
      <c r="C13" s="144"/>
      <c r="D13" s="391">
        <v>0</v>
      </c>
      <c r="E13" s="373"/>
      <c r="F13" s="388"/>
      <c r="G13" s="350"/>
      <c r="H13" s="145"/>
    </row>
    <row r="14" spans="1:8" s="88" customFormat="1" ht="13.5" customHeight="1">
      <c r="A14" s="349"/>
      <c r="B14" s="143" t="s">
        <v>386</v>
      </c>
      <c r="C14" s="144"/>
      <c r="D14" s="391">
        <v>36462.5</v>
      </c>
      <c r="E14" s="373"/>
      <c r="F14" s="388"/>
      <c r="G14" s="350"/>
      <c r="H14" s="145"/>
    </row>
    <row r="15" spans="1:8" s="88" customFormat="1" ht="13.5" customHeight="1">
      <c r="A15" s="349"/>
      <c r="B15" s="143" t="s">
        <v>387</v>
      </c>
      <c r="C15" s="144"/>
      <c r="D15" s="391">
        <v>315898</v>
      </c>
      <c r="E15" s="373"/>
      <c r="F15" s="388"/>
      <c r="G15" s="350"/>
      <c r="H15" s="145"/>
    </row>
    <row r="16" spans="1:8" s="88" customFormat="1" ht="13.5" customHeight="1">
      <c r="A16" s="349"/>
      <c r="B16" s="143" t="s">
        <v>388</v>
      </c>
      <c r="C16" s="144"/>
      <c r="D16" s="391">
        <v>24000</v>
      </c>
      <c r="E16" s="373"/>
      <c r="F16" s="388"/>
      <c r="G16" s="350"/>
      <c r="H16" s="145"/>
    </row>
    <row r="17" spans="1:9" s="88" customFormat="1" ht="13.5" customHeight="1">
      <c r="A17" s="349"/>
      <c r="B17" s="143" t="s">
        <v>543</v>
      </c>
      <c r="C17" s="144"/>
      <c r="D17" s="391">
        <v>0</v>
      </c>
      <c r="E17" s="373"/>
      <c r="F17" s="389"/>
      <c r="G17" s="350"/>
      <c r="H17" s="145"/>
      <c r="I17" s="114"/>
    </row>
    <row r="18" spans="1:8" s="88" customFormat="1" ht="13.5" customHeight="1">
      <c r="A18" s="349"/>
      <c r="B18" s="143" t="s">
        <v>58</v>
      </c>
      <c r="C18" s="144"/>
      <c r="D18" s="391">
        <v>19000</v>
      </c>
      <c r="E18" s="373"/>
      <c r="F18" s="388"/>
      <c r="G18" s="350"/>
      <c r="H18" s="145"/>
    </row>
    <row r="19" spans="1:8" s="88" customFormat="1" ht="13.5" customHeight="1">
      <c r="A19" s="349"/>
      <c r="B19" s="143" t="s">
        <v>289</v>
      </c>
      <c r="C19" s="144"/>
      <c r="D19" s="435">
        <v>44237</v>
      </c>
      <c r="E19" s="373"/>
      <c r="F19" s="388"/>
      <c r="G19" s="350"/>
      <c r="H19" s="145"/>
    </row>
    <row r="20" spans="1:8" s="88" customFormat="1" ht="13.5" customHeight="1">
      <c r="A20" s="349"/>
      <c r="B20" s="143" t="s">
        <v>529</v>
      </c>
      <c r="C20" s="144"/>
      <c r="D20" s="435">
        <v>49234</v>
      </c>
      <c r="E20" s="373"/>
      <c r="F20" s="388"/>
      <c r="G20" s="350"/>
      <c r="H20" s="145"/>
    </row>
    <row r="21" spans="1:8" s="88" customFormat="1" ht="13.5" customHeight="1">
      <c r="A21" s="349"/>
      <c r="B21" s="143" t="s">
        <v>287</v>
      </c>
      <c r="C21" s="144"/>
      <c r="D21" s="435">
        <v>16774</v>
      </c>
      <c r="E21" s="390"/>
      <c r="F21" s="388"/>
      <c r="G21" s="350"/>
      <c r="H21" s="145"/>
    </row>
    <row r="22" spans="1:8" s="88" customFormat="1" ht="13.5" customHeight="1">
      <c r="A22" s="349"/>
      <c r="B22" s="143" t="s">
        <v>286</v>
      </c>
      <c r="C22" s="144"/>
      <c r="D22" s="435">
        <v>11525</v>
      </c>
      <c r="E22" s="390"/>
      <c r="F22" s="388"/>
      <c r="G22" s="350"/>
      <c r="H22" s="145"/>
    </row>
    <row r="23" spans="1:8" s="88" customFormat="1" ht="13.5" customHeight="1">
      <c r="A23" s="349"/>
      <c r="B23" s="143" t="s">
        <v>538</v>
      </c>
      <c r="C23" s="144"/>
      <c r="D23" s="391"/>
      <c r="E23" s="373">
        <v>590762</v>
      </c>
      <c r="F23" s="388"/>
      <c r="G23" s="350"/>
      <c r="H23" s="145"/>
    </row>
    <row r="24" spans="1:8" s="88" customFormat="1" ht="13.5" customHeight="1">
      <c r="A24" s="349"/>
      <c r="B24" s="143" t="s">
        <v>539</v>
      </c>
      <c r="C24" s="144"/>
      <c r="D24" s="391"/>
      <c r="E24" s="373">
        <v>337102</v>
      </c>
      <c r="F24" s="388"/>
      <c r="G24" s="350"/>
      <c r="H24" s="145"/>
    </row>
    <row r="25" spans="1:8" s="88" customFormat="1" ht="13.5" customHeight="1">
      <c r="A25" s="349"/>
      <c r="B25" s="143" t="s">
        <v>540</v>
      </c>
      <c r="C25" s="144"/>
      <c r="D25" s="391"/>
      <c r="E25" s="373">
        <v>380639</v>
      </c>
      <c r="F25" s="388"/>
      <c r="G25" s="350"/>
      <c r="H25" s="145"/>
    </row>
    <row r="26" spans="1:8" s="88" customFormat="1" ht="13.5" customHeight="1">
      <c r="A26" s="349"/>
      <c r="B26" s="143" t="s">
        <v>541</v>
      </c>
      <c r="C26" s="144"/>
      <c r="D26" s="391"/>
      <c r="E26" s="373">
        <v>80683</v>
      </c>
      <c r="F26" s="388"/>
      <c r="G26" s="350"/>
      <c r="H26" s="145"/>
    </row>
    <row r="27" spans="1:8" s="88" customFormat="1" ht="13.5" customHeight="1">
      <c r="A27" s="349"/>
      <c r="B27" s="143" t="s">
        <v>542</v>
      </c>
      <c r="C27" s="144"/>
      <c r="D27" s="373">
        <v>25200</v>
      </c>
      <c r="E27" s="373">
        <v>8205</v>
      </c>
      <c r="F27" s="388"/>
      <c r="G27" s="350"/>
      <c r="H27" s="145"/>
    </row>
    <row r="28" spans="1:8" s="88" customFormat="1" ht="13.5" customHeight="1">
      <c r="A28" s="349"/>
      <c r="B28" s="143" t="s">
        <v>544</v>
      </c>
      <c r="C28" s="144"/>
      <c r="D28" s="391"/>
      <c r="E28" s="373">
        <v>22950</v>
      </c>
      <c r="F28" s="388"/>
      <c r="G28" s="350"/>
      <c r="H28" s="145"/>
    </row>
    <row r="29" spans="1:8" s="88" customFormat="1" ht="13.5" customHeight="1">
      <c r="A29" s="349"/>
      <c r="B29" s="143" t="s">
        <v>545</v>
      </c>
      <c r="C29" s="144"/>
      <c r="D29" s="391"/>
      <c r="E29" s="373">
        <v>10800</v>
      </c>
      <c r="F29" s="388"/>
      <c r="G29" s="350"/>
      <c r="H29" s="145"/>
    </row>
    <row r="30" spans="1:8" s="88" customFormat="1" ht="13.5" customHeight="1">
      <c r="A30" s="349"/>
      <c r="B30" s="143" t="s">
        <v>546</v>
      </c>
      <c r="C30" s="144"/>
      <c r="D30" s="391">
        <v>32500</v>
      </c>
      <c r="E30" s="373"/>
      <c r="F30" s="388"/>
      <c r="G30" s="350"/>
      <c r="H30" s="145"/>
    </row>
    <row r="31" spans="1:8" s="88" customFormat="1" ht="13.5" customHeight="1">
      <c r="A31" s="349"/>
      <c r="B31" s="143" t="s">
        <v>547</v>
      </c>
      <c r="C31" s="144"/>
      <c r="D31" s="391"/>
      <c r="E31" s="373">
        <v>3227000</v>
      </c>
      <c r="F31" s="388"/>
      <c r="G31" s="350"/>
      <c r="H31" s="145"/>
    </row>
    <row r="32" spans="1:8" s="88" customFormat="1" ht="13.5" customHeight="1">
      <c r="A32" s="349"/>
      <c r="B32" s="143" t="s">
        <v>548</v>
      </c>
      <c r="C32" s="144"/>
      <c r="D32" s="391">
        <v>224239</v>
      </c>
      <c r="E32" s="373"/>
      <c r="F32" s="388"/>
      <c r="G32" s="350"/>
      <c r="H32" s="145"/>
    </row>
    <row r="33" spans="1:10" s="88" customFormat="1" ht="13.5" customHeight="1">
      <c r="A33" s="349"/>
      <c r="B33" s="143" t="s">
        <v>549</v>
      </c>
      <c r="C33" s="144"/>
      <c r="D33" s="391"/>
      <c r="E33" s="373">
        <v>75000</v>
      </c>
      <c r="F33" s="388"/>
      <c r="G33" s="350"/>
      <c r="H33" s="145"/>
      <c r="I33" s="308"/>
      <c r="J33" s="309"/>
    </row>
    <row r="34" spans="1:10" s="88" customFormat="1" ht="13.5" customHeight="1">
      <c r="A34" s="349"/>
      <c r="B34" s="143" t="s">
        <v>497</v>
      </c>
      <c r="C34" s="144"/>
      <c r="D34" s="391">
        <v>139000</v>
      </c>
      <c r="E34" s="373"/>
      <c r="F34" s="388"/>
      <c r="G34" s="350"/>
      <c r="H34" s="145"/>
      <c r="I34" s="308"/>
      <c r="J34" s="309"/>
    </row>
    <row r="35" spans="1:10" s="88" customFormat="1" ht="13.5" customHeight="1">
      <c r="A35" s="349"/>
      <c r="B35" s="143" t="s">
        <v>550</v>
      </c>
      <c r="C35" s="144"/>
      <c r="D35" s="391"/>
      <c r="E35" s="373"/>
      <c r="F35" s="388"/>
      <c r="G35" s="350"/>
      <c r="H35" s="145"/>
      <c r="I35" s="308"/>
      <c r="J35" s="309"/>
    </row>
    <row r="36" spans="1:10" s="88" customFormat="1" ht="13.5" customHeight="1">
      <c r="A36" s="349"/>
      <c r="B36" s="143" t="s">
        <v>565</v>
      </c>
      <c r="C36" s="144"/>
      <c r="D36" s="391">
        <v>275000</v>
      </c>
      <c r="E36" s="391"/>
      <c r="F36" s="388"/>
      <c r="G36" s="350"/>
      <c r="H36" s="145"/>
      <c r="I36" s="308"/>
      <c r="J36" s="309"/>
    </row>
    <row r="37" spans="1:10" s="88" customFormat="1" ht="13.5" customHeight="1">
      <c r="A37" s="349"/>
      <c r="B37" s="383" t="s">
        <v>524</v>
      </c>
      <c r="C37" s="144"/>
      <c r="D37" s="392">
        <f>SUM(D8:D36)</f>
        <v>1544828.6964285714</v>
      </c>
      <c r="E37" s="392">
        <f>SUM(E8:E36)</f>
        <v>4733141</v>
      </c>
      <c r="F37" s="388"/>
      <c r="G37" s="350"/>
      <c r="H37" s="145"/>
      <c r="I37" s="308"/>
      <c r="J37" s="309"/>
    </row>
    <row r="38" spans="1:10" s="88" customFormat="1" ht="13.5" customHeight="1">
      <c r="A38" s="349"/>
      <c r="B38" s="143"/>
      <c r="C38" s="144"/>
      <c r="D38" s="391"/>
      <c r="E38" s="373"/>
      <c r="F38" s="388"/>
      <c r="G38" s="350"/>
      <c r="H38" s="145"/>
      <c r="I38" s="308"/>
      <c r="J38" s="309"/>
    </row>
    <row r="39" spans="1:8" s="88" customFormat="1" ht="13.5" customHeight="1">
      <c r="A39" s="377"/>
      <c r="B39" s="143"/>
      <c r="C39" s="303"/>
      <c r="D39" s="391"/>
      <c r="E39" s="373"/>
      <c r="F39" s="389"/>
      <c r="G39" s="350"/>
      <c r="H39" s="145"/>
    </row>
    <row r="40" spans="1:8" s="88" customFormat="1" ht="13.5" customHeight="1">
      <c r="A40" s="377"/>
      <c r="B40" s="139" t="s">
        <v>369</v>
      </c>
      <c r="C40" s="144"/>
      <c r="D40" s="391"/>
      <c r="E40" s="373"/>
      <c r="F40" s="388"/>
      <c r="G40" s="379">
        <f>SUM(D58+E58)</f>
        <v>1852614</v>
      </c>
      <c r="H40" s="145"/>
    </row>
    <row r="41" spans="1:8" s="88" customFormat="1" ht="13.5" customHeight="1">
      <c r="A41" s="377"/>
      <c r="B41" s="143" t="s">
        <v>290</v>
      </c>
      <c r="C41" s="144"/>
      <c r="D41" s="393">
        <v>0</v>
      </c>
      <c r="E41" s="393"/>
      <c r="F41" s="388"/>
      <c r="G41" s="350"/>
      <c r="H41" s="145"/>
    </row>
    <row r="42" spans="1:8" s="88" customFormat="1" ht="13.5" customHeight="1">
      <c r="A42" s="377"/>
      <c r="B42" s="143" t="s">
        <v>519</v>
      </c>
      <c r="C42" s="144"/>
      <c r="D42" s="393">
        <v>20000</v>
      </c>
      <c r="E42" s="393"/>
      <c r="F42" s="388"/>
      <c r="G42" s="350"/>
      <c r="H42" s="145"/>
    </row>
    <row r="43" spans="1:8" s="88" customFormat="1" ht="13.5" customHeight="1">
      <c r="A43" s="377"/>
      <c r="B43" s="143" t="s">
        <v>520</v>
      </c>
      <c r="C43" s="144"/>
      <c r="D43" s="393"/>
      <c r="E43" s="393">
        <v>280000</v>
      </c>
      <c r="F43" s="388"/>
      <c r="G43" s="350"/>
      <c r="H43" s="145"/>
    </row>
    <row r="44" spans="1:8" s="88" customFormat="1" ht="13.5" customHeight="1">
      <c r="A44" s="377"/>
      <c r="B44" s="143" t="s">
        <v>521</v>
      </c>
      <c r="C44" s="144"/>
      <c r="D44" s="393">
        <v>220000</v>
      </c>
      <c r="E44" s="393">
        <v>180000</v>
      </c>
      <c r="F44" s="388"/>
      <c r="G44" s="350"/>
      <c r="H44" s="145"/>
    </row>
    <row r="45" spans="1:8" s="88" customFormat="1" ht="13.5" customHeight="1">
      <c r="A45" s="377"/>
      <c r="B45" s="143" t="s">
        <v>522</v>
      </c>
      <c r="C45" s="144"/>
      <c r="D45" s="373">
        <v>238000</v>
      </c>
      <c r="E45" s="373"/>
      <c r="F45" s="388"/>
      <c r="G45" s="350"/>
      <c r="H45" s="145"/>
    </row>
    <row r="46" spans="1:8" s="88" customFormat="1" ht="13.5" customHeight="1">
      <c r="A46" s="377"/>
      <c r="B46" s="143" t="s">
        <v>536</v>
      </c>
      <c r="C46" s="144"/>
      <c r="D46" s="373">
        <v>150000</v>
      </c>
      <c r="E46" s="373"/>
      <c r="F46" s="388"/>
      <c r="G46" s="350"/>
      <c r="H46" s="145"/>
    </row>
    <row r="47" spans="1:8" s="88" customFormat="1" ht="13.5" customHeight="1">
      <c r="A47" s="377"/>
      <c r="B47" s="143" t="s">
        <v>537</v>
      </c>
      <c r="C47" s="144"/>
      <c r="D47" s="373"/>
      <c r="E47" s="373">
        <v>18800</v>
      </c>
      <c r="F47" s="388"/>
      <c r="G47" s="350"/>
      <c r="H47" s="145"/>
    </row>
    <row r="48" spans="1:8" s="88" customFormat="1" ht="13.5" customHeight="1">
      <c r="A48" s="377"/>
      <c r="B48" s="143" t="s">
        <v>523</v>
      </c>
      <c r="C48" s="144"/>
      <c r="D48" s="373">
        <v>138000</v>
      </c>
      <c r="E48" s="373">
        <v>442000</v>
      </c>
      <c r="F48" s="388"/>
      <c r="G48" s="350"/>
      <c r="H48" s="145"/>
    </row>
    <row r="49" spans="1:9" s="88" customFormat="1" ht="13.5" customHeight="1">
      <c r="A49" s="377"/>
      <c r="B49" s="143" t="s">
        <v>553</v>
      </c>
      <c r="C49" s="144"/>
      <c r="D49" s="393">
        <v>0</v>
      </c>
      <c r="E49" s="373"/>
      <c r="F49" s="388"/>
      <c r="G49" s="350"/>
      <c r="H49" s="145"/>
      <c r="I49" s="308"/>
    </row>
    <row r="50" spans="1:8" s="88" customFormat="1" ht="13.5" customHeight="1">
      <c r="A50" s="377"/>
      <c r="B50" s="143" t="s">
        <v>554</v>
      </c>
      <c r="C50" s="144"/>
      <c r="D50" s="373">
        <v>15972</v>
      </c>
      <c r="E50" s="373"/>
      <c r="F50" s="388"/>
      <c r="G50" s="350"/>
      <c r="H50" s="145"/>
    </row>
    <row r="51" spans="1:8" s="88" customFormat="1" ht="13.5" customHeight="1">
      <c r="A51" s="377"/>
      <c r="B51" s="143" t="s">
        <v>555</v>
      </c>
      <c r="C51" s="144"/>
      <c r="D51" s="373">
        <v>84942</v>
      </c>
      <c r="E51" s="373"/>
      <c r="F51" s="388"/>
      <c r="G51" s="350"/>
      <c r="H51" s="145"/>
    </row>
    <row r="52" spans="1:10" s="88" customFormat="1" ht="13.5" customHeight="1">
      <c r="A52" s="377"/>
      <c r="B52" s="143" t="s">
        <v>556</v>
      </c>
      <c r="C52" s="144"/>
      <c r="D52" s="373">
        <v>0</v>
      </c>
      <c r="E52" s="373"/>
      <c r="F52" s="388"/>
      <c r="G52" s="350"/>
      <c r="H52" s="145"/>
      <c r="I52" s="308"/>
      <c r="J52" s="309"/>
    </row>
    <row r="53" spans="1:10" s="88" customFormat="1" ht="13.5" customHeight="1">
      <c r="A53" s="377"/>
      <c r="B53" s="143" t="s">
        <v>557</v>
      </c>
      <c r="C53" s="144"/>
      <c r="D53" s="373">
        <v>20900</v>
      </c>
      <c r="E53" s="373"/>
      <c r="F53" s="388"/>
      <c r="G53" s="350"/>
      <c r="H53" s="145"/>
      <c r="I53" s="308"/>
      <c r="J53" s="309"/>
    </row>
    <row r="54" spans="1:10" s="88" customFormat="1" ht="13.5" customHeight="1">
      <c r="A54" s="377"/>
      <c r="B54" s="143" t="s">
        <v>558</v>
      </c>
      <c r="C54" s="144"/>
      <c r="D54" s="373">
        <v>44000</v>
      </c>
      <c r="E54" s="373"/>
      <c r="F54" s="388"/>
      <c r="G54" s="350"/>
      <c r="H54" s="145"/>
      <c r="I54" s="308"/>
      <c r="J54" s="309"/>
    </row>
    <row r="55" spans="1:10" s="88" customFormat="1" ht="13.5" customHeight="1">
      <c r="A55" s="377"/>
      <c r="B55" s="143" t="s">
        <v>559</v>
      </c>
      <c r="C55" s="144"/>
      <c r="D55" s="373">
        <v>0</v>
      </c>
      <c r="E55" s="373"/>
      <c r="F55" s="388"/>
      <c r="G55" s="350"/>
      <c r="H55" s="145"/>
      <c r="I55" s="308"/>
      <c r="J55" s="309"/>
    </row>
    <row r="56" spans="1:10" s="88" customFormat="1" ht="13.5" customHeight="1">
      <c r="A56" s="377"/>
      <c r="B56" s="143"/>
      <c r="C56" s="384" t="s">
        <v>551</v>
      </c>
      <c r="D56" s="373"/>
      <c r="E56" s="373"/>
      <c r="F56" s="388"/>
      <c r="G56" s="350"/>
      <c r="H56" s="145"/>
      <c r="I56" s="308"/>
      <c r="J56" s="309"/>
    </row>
    <row r="57" spans="1:10" s="88" customFormat="1" ht="13.5" customHeight="1">
      <c r="A57" s="377"/>
      <c r="B57" s="143"/>
      <c r="C57" s="348"/>
      <c r="D57" s="373"/>
      <c r="E57" s="373"/>
      <c r="F57" s="388"/>
      <c r="G57" s="350"/>
      <c r="H57" s="145"/>
      <c r="I57" s="308"/>
      <c r="J57" s="309"/>
    </row>
    <row r="58" spans="1:10" s="88" customFormat="1" ht="13.5" customHeight="1">
      <c r="A58" s="349"/>
      <c r="B58" s="383" t="s">
        <v>525</v>
      </c>
      <c r="C58" s="144"/>
      <c r="D58" s="392">
        <f>SUM(D41:D55)</f>
        <v>931814</v>
      </c>
      <c r="E58" s="392">
        <f>SUM(E41:E55)</f>
        <v>920800</v>
      </c>
      <c r="F58" s="388"/>
      <c r="G58" s="350"/>
      <c r="H58" s="145"/>
      <c r="I58" s="308"/>
      <c r="J58" s="309"/>
    </row>
    <row r="59" spans="1:10" s="88" customFormat="1" ht="13.5" customHeight="1">
      <c r="A59" s="377"/>
      <c r="B59" s="143"/>
      <c r="C59" s="348"/>
      <c r="D59" s="373"/>
      <c r="E59" s="373"/>
      <c r="F59" s="388"/>
      <c r="G59" s="350"/>
      <c r="H59" s="145"/>
      <c r="I59" s="308"/>
      <c r="J59" s="309"/>
    </row>
    <row r="60" spans="1:10" s="88" customFormat="1" ht="13.5" customHeight="1">
      <c r="A60" s="377"/>
      <c r="B60" s="143"/>
      <c r="C60" s="348"/>
      <c r="D60" s="373"/>
      <c r="E60" s="373"/>
      <c r="F60" s="388"/>
      <c r="G60" s="350"/>
      <c r="H60" s="145"/>
      <c r="I60" s="308"/>
      <c r="J60" s="309"/>
    </row>
    <row r="61" spans="1:10" s="88" customFormat="1" ht="13.5" customHeight="1">
      <c r="A61" s="377"/>
      <c r="B61" s="143"/>
      <c r="C61" s="348"/>
      <c r="D61" s="373"/>
      <c r="E61" s="373"/>
      <c r="F61" s="388"/>
      <c r="G61" s="350"/>
      <c r="H61" s="145"/>
      <c r="I61" s="308"/>
      <c r="J61" s="309"/>
    </row>
    <row r="62" spans="1:8" s="88" customFormat="1" ht="13.5" customHeight="1">
      <c r="A62" s="377"/>
      <c r="B62" s="143"/>
      <c r="C62" s="144"/>
      <c r="D62" s="391"/>
      <c r="E62" s="373"/>
      <c r="F62" s="389"/>
      <c r="G62" s="350"/>
      <c r="H62" s="145"/>
    </row>
    <row r="63" spans="1:8" s="88" customFormat="1" ht="13.5" customHeight="1">
      <c r="A63" s="377"/>
      <c r="B63" s="139" t="s">
        <v>370</v>
      </c>
      <c r="C63" s="144"/>
      <c r="D63" s="391"/>
      <c r="E63" s="373"/>
      <c r="F63" s="389"/>
      <c r="G63" s="379">
        <f>SUM(D74+E74)</f>
        <v>778501</v>
      </c>
      <c r="H63" s="145"/>
    </row>
    <row r="64" spans="1:8" s="88" customFormat="1" ht="13.5" customHeight="1">
      <c r="A64" s="377"/>
      <c r="B64" s="143" t="s">
        <v>389</v>
      </c>
      <c r="C64" s="144"/>
      <c r="D64" s="373">
        <v>15280</v>
      </c>
      <c r="E64" s="373"/>
      <c r="F64" s="389"/>
      <c r="G64" s="350"/>
      <c r="H64" s="145"/>
    </row>
    <row r="65" spans="1:8" s="88" customFormat="1" ht="13.5" customHeight="1">
      <c r="A65" s="377"/>
      <c r="B65" s="143" t="s">
        <v>390</v>
      </c>
      <c r="C65" s="144"/>
      <c r="D65" s="373">
        <v>62158</v>
      </c>
      <c r="E65" s="373"/>
      <c r="F65" s="389"/>
      <c r="G65" s="350"/>
      <c r="H65" s="145"/>
    </row>
    <row r="66" spans="1:8" s="88" customFormat="1" ht="13.5" customHeight="1">
      <c r="A66" s="377"/>
      <c r="B66" s="143" t="s">
        <v>391</v>
      </c>
      <c r="C66" s="144"/>
      <c r="D66" s="373">
        <v>135000</v>
      </c>
      <c r="E66" s="373"/>
      <c r="F66" s="389"/>
      <c r="G66" s="350"/>
      <c r="H66" s="145"/>
    </row>
    <row r="67" spans="1:8" s="88" customFormat="1" ht="13.5" customHeight="1">
      <c r="A67" s="377"/>
      <c r="B67" s="143" t="s">
        <v>392</v>
      </c>
      <c r="C67" s="144"/>
      <c r="D67" s="373">
        <v>195700</v>
      </c>
      <c r="E67" s="373"/>
      <c r="F67" s="389"/>
      <c r="G67" s="350"/>
      <c r="H67" s="145"/>
    </row>
    <row r="68" spans="1:8" s="88" customFormat="1" ht="13.5" customHeight="1">
      <c r="A68" s="377"/>
      <c r="B68" s="143" t="s">
        <v>560</v>
      </c>
      <c r="C68" s="144"/>
      <c r="D68" s="373">
        <v>333300</v>
      </c>
      <c r="E68" s="373"/>
      <c r="F68" s="389"/>
      <c r="G68" s="350"/>
      <c r="H68" s="145"/>
    </row>
    <row r="69" spans="1:8" s="88" customFormat="1" ht="13.5" customHeight="1">
      <c r="A69" s="377"/>
      <c r="B69" s="143" t="s">
        <v>561</v>
      </c>
      <c r="C69" s="144"/>
      <c r="D69" s="373">
        <v>10000</v>
      </c>
      <c r="E69" s="373"/>
      <c r="F69" s="389"/>
      <c r="G69" s="350"/>
      <c r="H69" s="145"/>
    </row>
    <row r="70" spans="1:8" s="88" customFormat="1" ht="13.5" customHeight="1">
      <c r="A70" s="377"/>
      <c r="B70" s="143" t="s">
        <v>562</v>
      </c>
      <c r="C70" s="144"/>
      <c r="D70" s="373">
        <v>15423</v>
      </c>
      <c r="E70" s="373"/>
      <c r="F70" s="389"/>
      <c r="G70" s="350"/>
      <c r="H70" s="145"/>
    </row>
    <row r="71" spans="1:8" s="88" customFormat="1" ht="13.5" customHeight="1">
      <c r="A71" s="377"/>
      <c r="B71" s="143" t="s">
        <v>563</v>
      </c>
      <c r="C71" s="144"/>
      <c r="D71" s="373">
        <v>8825</v>
      </c>
      <c r="E71" s="373"/>
      <c r="F71" s="389"/>
      <c r="G71" s="350"/>
      <c r="H71" s="145"/>
    </row>
    <row r="72" spans="1:10" s="88" customFormat="1" ht="13.5" customHeight="1">
      <c r="A72" s="377"/>
      <c r="B72" s="143" t="s">
        <v>564</v>
      </c>
      <c r="C72" s="144"/>
      <c r="D72" s="373">
        <v>2815</v>
      </c>
      <c r="E72" s="373"/>
      <c r="F72" s="389"/>
      <c r="G72" s="350"/>
      <c r="H72" s="145"/>
      <c r="I72" s="308"/>
      <c r="J72" s="309"/>
    </row>
    <row r="73" spans="1:10" s="88" customFormat="1" ht="13.5" customHeight="1">
      <c r="A73" s="377"/>
      <c r="B73" s="143"/>
      <c r="C73" s="144"/>
      <c r="D73" s="373"/>
      <c r="E73" s="373"/>
      <c r="F73" s="389"/>
      <c r="G73" s="350"/>
      <c r="H73" s="145"/>
      <c r="I73" s="308"/>
      <c r="J73" s="309"/>
    </row>
    <row r="74" spans="1:10" s="88" customFormat="1" ht="13.5" customHeight="1">
      <c r="A74" s="349"/>
      <c r="B74" s="383" t="s">
        <v>526</v>
      </c>
      <c r="C74" s="144"/>
      <c r="D74" s="392">
        <f>SUM(D64:D72)</f>
        <v>778501</v>
      </c>
      <c r="E74" s="392">
        <f>SUM(E64:E72)</f>
        <v>0</v>
      </c>
      <c r="F74" s="388"/>
      <c r="G74" s="350"/>
      <c r="H74" s="145"/>
      <c r="I74" s="308"/>
      <c r="J74" s="309"/>
    </row>
    <row r="75" spans="1:10" s="88" customFormat="1" ht="13.5" customHeight="1">
      <c r="A75" s="377"/>
      <c r="B75" s="143"/>
      <c r="C75" s="144"/>
      <c r="D75" s="373"/>
      <c r="E75" s="373"/>
      <c r="F75" s="389"/>
      <c r="G75" s="350"/>
      <c r="H75" s="145"/>
      <c r="I75" s="308"/>
      <c r="J75" s="309"/>
    </row>
    <row r="76" spans="1:8" s="88" customFormat="1" ht="13.5" customHeight="1">
      <c r="A76" s="377"/>
      <c r="B76" s="143"/>
      <c r="C76" s="144"/>
      <c r="D76" s="391"/>
      <c r="E76" s="373"/>
      <c r="F76" s="389"/>
      <c r="G76" s="350"/>
      <c r="H76" s="145"/>
    </row>
    <row r="77" spans="1:8" s="88" customFormat="1" ht="13.5" customHeight="1">
      <c r="A77" s="377"/>
      <c r="B77" s="139" t="s">
        <v>292</v>
      </c>
      <c r="C77" s="144"/>
      <c r="D77" s="391"/>
      <c r="E77" s="373"/>
      <c r="F77" s="389"/>
      <c r="G77" s="379">
        <f>SUM(D89+E89)</f>
        <v>316352</v>
      </c>
      <c r="H77" s="145"/>
    </row>
    <row r="78" spans="1:8" s="88" customFormat="1" ht="13.5" customHeight="1">
      <c r="A78" s="377"/>
      <c r="B78" s="143" t="s">
        <v>398</v>
      </c>
      <c r="C78" s="144"/>
      <c r="D78" s="373">
        <v>26000</v>
      </c>
      <c r="E78" s="373"/>
      <c r="F78" s="389"/>
      <c r="G78" s="394"/>
      <c r="H78" s="145"/>
    </row>
    <row r="79" spans="1:8" s="88" customFormat="1" ht="13.5" customHeight="1">
      <c r="A79" s="377"/>
      <c r="B79" s="143" t="s">
        <v>399</v>
      </c>
      <c r="C79" s="144"/>
      <c r="D79" s="373">
        <v>28602</v>
      </c>
      <c r="E79" s="373"/>
      <c r="F79" s="389"/>
      <c r="G79" s="394"/>
      <c r="H79" s="145"/>
    </row>
    <row r="80" spans="1:8" s="88" customFormat="1" ht="13.5" customHeight="1">
      <c r="A80" s="377"/>
      <c r="B80" s="143" t="s">
        <v>400</v>
      </c>
      <c r="C80" s="144"/>
      <c r="D80" s="373">
        <v>10000</v>
      </c>
      <c r="E80" s="373"/>
      <c r="F80" s="389"/>
      <c r="G80" s="394"/>
      <c r="H80" s="145"/>
    </row>
    <row r="81" spans="1:8" s="88" customFormat="1" ht="13.5" customHeight="1">
      <c r="A81" s="377"/>
      <c r="B81" s="143" t="s">
        <v>401</v>
      </c>
      <c r="C81" s="144"/>
      <c r="D81" s="373">
        <v>3000</v>
      </c>
      <c r="E81" s="373"/>
      <c r="F81" s="389"/>
      <c r="G81" s="394"/>
      <c r="H81" s="145"/>
    </row>
    <row r="82" spans="1:8" s="88" customFormat="1" ht="13.5" customHeight="1">
      <c r="A82" s="377"/>
      <c r="B82" s="143" t="s">
        <v>402</v>
      </c>
      <c r="C82" s="144"/>
      <c r="D82" s="373">
        <v>14950</v>
      </c>
      <c r="E82" s="373"/>
      <c r="F82" s="389"/>
      <c r="G82" s="394"/>
      <c r="H82" s="145"/>
    </row>
    <row r="83" spans="1:8" s="88" customFormat="1" ht="13.5" customHeight="1">
      <c r="A83" s="377"/>
      <c r="B83" s="143" t="s">
        <v>284</v>
      </c>
      <c r="C83" s="144"/>
      <c r="D83" s="373">
        <v>26000</v>
      </c>
      <c r="E83" s="373"/>
      <c r="F83" s="389"/>
      <c r="G83" s="394"/>
      <c r="H83" s="145"/>
    </row>
    <row r="84" spans="1:8" s="88" customFormat="1" ht="13.5" customHeight="1">
      <c r="A84" s="377"/>
      <c r="B84" s="143" t="s">
        <v>285</v>
      </c>
      <c r="C84" s="144"/>
      <c r="D84" s="373">
        <v>52800</v>
      </c>
      <c r="E84" s="373"/>
      <c r="F84" s="389"/>
      <c r="G84" s="394"/>
      <c r="H84" s="145"/>
    </row>
    <row r="85" spans="1:8" s="88" customFormat="1" ht="13.5" customHeight="1">
      <c r="A85" s="377"/>
      <c r="B85" s="143" t="s">
        <v>59</v>
      </c>
      <c r="C85" s="144"/>
      <c r="D85" s="373">
        <v>23000</v>
      </c>
      <c r="E85" s="373"/>
      <c r="F85" s="389"/>
      <c r="G85" s="394"/>
      <c r="H85" s="145"/>
    </row>
    <row r="86" spans="1:10" s="88" customFormat="1" ht="13.5" customHeight="1">
      <c r="A86" s="377"/>
      <c r="B86" s="143" t="s">
        <v>293</v>
      </c>
      <c r="C86" s="144"/>
      <c r="D86" s="373">
        <v>100000</v>
      </c>
      <c r="E86" s="373"/>
      <c r="F86" s="389"/>
      <c r="G86" s="394"/>
      <c r="H86" s="145"/>
      <c r="I86" s="308"/>
      <c r="J86" s="309"/>
    </row>
    <row r="87" spans="1:8" s="88" customFormat="1" ht="13.5" customHeight="1">
      <c r="A87" s="377"/>
      <c r="B87" s="143" t="s">
        <v>234</v>
      </c>
      <c r="C87" s="144"/>
      <c r="D87" s="373">
        <v>32000</v>
      </c>
      <c r="E87" s="373"/>
      <c r="F87" s="395"/>
      <c r="G87" s="394"/>
      <c r="H87" s="145"/>
    </row>
    <row r="88" spans="1:8" s="88" customFormat="1" ht="13.5" customHeight="1">
      <c r="A88" s="377"/>
      <c r="B88" s="143"/>
      <c r="C88" s="144"/>
      <c r="D88" s="373"/>
      <c r="E88" s="373"/>
      <c r="F88" s="389"/>
      <c r="G88" s="394"/>
      <c r="H88" s="145"/>
    </row>
    <row r="89" spans="1:10" s="88" customFormat="1" ht="13.5" customHeight="1">
      <c r="A89" s="349"/>
      <c r="B89" s="383" t="s">
        <v>527</v>
      </c>
      <c r="C89" s="144"/>
      <c r="D89" s="392">
        <f>SUM(D78:D87)</f>
        <v>316352</v>
      </c>
      <c r="E89" s="392">
        <f>SUM(E78:E87)</f>
        <v>0</v>
      </c>
      <c r="F89" s="388"/>
      <c r="G89" s="350"/>
      <c r="H89" s="145"/>
      <c r="I89" s="308"/>
      <c r="J89" s="309"/>
    </row>
    <row r="90" spans="1:10" s="88" customFormat="1" ht="13.5" customHeight="1">
      <c r="A90" s="349"/>
      <c r="B90" s="383"/>
      <c r="C90" s="144"/>
      <c r="D90" s="392"/>
      <c r="E90" s="392"/>
      <c r="F90" s="388"/>
      <c r="G90" s="350"/>
      <c r="H90" s="145"/>
      <c r="I90" s="308"/>
      <c r="J90" s="309"/>
    </row>
    <row r="91" spans="1:10" s="88" customFormat="1" ht="13.5" customHeight="1">
      <c r="A91" s="349"/>
      <c r="B91" s="383" t="s">
        <v>528</v>
      </c>
      <c r="C91" s="144"/>
      <c r="D91" s="392">
        <f>SUM(D37+D58+D74+D89)</f>
        <v>3571495.6964285714</v>
      </c>
      <c r="E91" s="392">
        <f>SUM(E37+E58+E74+E89)</f>
        <v>5653941</v>
      </c>
      <c r="F91" s="388"/>
      <c r="G91" s="396">
        <f>SUM(G7:G90)</f>
        <v>9225436.69642857</v>
      </c>
      <c r="H91" s="145"/>
      <c r="I91" s="308">
        <f>SUM(D91:E91)</f>
        <v>9225436.69642857</v>
      </c>
      <c r="J91" s="309" t="s">
        <v>531</v>
      </c>
    </row>
    <row r="92" spans="1:9" s="88" customFormat="1" ht="13.5" customHeight="1">
      <c r="A92" s="142"/>
      <c r="B92" s="143"/>
      <c r="C92" s="144"/>
      <c r="D92" s="436"/>
      <c r="E92" s="373"/>
      <c r="F92" s="389"/>
      <c r="G92" s="350"/>
      <c r="H92" s="145"/>
      <c r="I92" s="380"/>
    </row>
    <row r="93" spans="1:9" s="88" customFormat="1" ht="13.5" customHeight="1">
      <c r="A93" s="142"/>
      <c r="B93" s="143"/>
      <c r="C93" s="144"/>
      <c r="D93" s="436"/>
      <c r="E93" s="373"/>
      <c r="F93" s="389"/>
      <c r="G93" s="350"/>
      <c r="H93" s="145"/>
      <c r="I93" s="380"/>
    </row>
    <row r="94" spans="1:10" ht="13.5" customHeight="1">
      <c r="A94" s="142"/>
      <c r="B94" s="154" t="s">
        <v>414</v>
      </c>
      <c r="C94" s="72"/>
      <c r="D94" s="436"/>
      <c r="E94" s="373"/>
      <c r="F94" s="389"/>
      <c r="G94" s="397">
        <f>SUM(D102+E102)</f>
        <v>5626031.089513304</v>
      </c>
      <c r="H94" s="145"/>
      <c r="I94" s="186"/>
      <c r="J94" s="186"/>
    </row>
    <row r="95" spans="1:9" ht="13.5" customHeight="1">
      <c r="A95" s="142"/>
      <c r="B95" s="143" t="s">
        <v>14</v>
      </c>
      <c r="C95" s="72"/>
      <c r="D95" s="391">
        <f>D$91*0.15</f>
        <v>535724.3544642857</v>
      </c>
      <c r="E95" s="391">
        <f>E$91*0.15</f>
        <v>848091.15</v>
      </c>
      <c r="F95" s="389">
        <v>0</v>
      </c>
      <c r="G95" s="398"/>
      <c r="H95" s="145"/>
      <c r="I95" s="381"/>
    </row>
    <row r="96" spans="1:9" ht="13.5" customHeight="1">
      <c r="A96" s="142"/>
      <c r="B96" s="143" t="s">
        <v>15</v>
      </c>
      <c r="C96" s="72"/>
      <c r="D96" s="391">
        <f>(D$91+D95)*0.1</f>
        <v>410722.0050892857</v>
      </c>
      <c r="E96" s="391">
        <f>(E$91+E95)*0.1</f>
        <v>650203.2150000001</v>
      </c>
      <c r="F96" s="389">
        <v>0</v>
      </c>
      <c r="G96" s="398"/>
      <c r="H96" s="145"/>
      <c r="I96" s="381"/>
    </row>
    <row r="97" spans="1:9" ht="13.5" customHeight="1">
      <c r="A97" s="142"/>
      <c r="B97" s="143" t="s">
        <v>16</v>
      </c>
      <c r="C97" s="72"/>
      <c r="D97" s="391">
        <f>(D$91+D95+D96)*0</f>
        <v>0</v>
      </c>
      <c r="E97" s="391">
        <f>(E$91+E95+E96)*0</f>
        <v>0</v>
      </c>
      <c r="F97" s="389">
        <v>0</v>
      </c>
      <c r="G97" s="398"/>
      <c r="H97" s="145"/>
      <c r="I97" s="381"/>
    </row>
    <row r="98" spans="1:9" ht="13.5" customHeight="1">
      <c r="A98" s="142"/>
      <c r="B98" s="143" t="s">
        <v>17</v>
      </c>
      <c r="C98" s="72"/>
      <c r="D98" s="391">
        <f>(D$91+D95+D96+D97)*0.01</f>
        <v>45179.420559821425</v>
      </c>
      <c r="E98" s="391">
        <f>(E$91+E95+E96+E97)*0.01</f>
        <v>71522.35365</v>
      </c>
      <c r="F98" s="389">
        <v>0</v>
      </c>
      <c r="G98" s="398"/>
      <c r="H98" s="145"/>
      <c r="I98" s="381"/>
    </row>
    <row r="99" spans="1:9" ht="13.5" customHeight="1">
      <c r="A99" s="142"/>
      <c r="B99" s="143" t="s">
        <v>18</v>
      </c>
      <c r="C99" s="72"/>
      <c r="D99" s="391">
        <f>(D$91+D95+D96+D97+D98)*0.05</f>
        <v>228156.07382709824</v>
      </c>
      <c r="E99" s="391">
        <f>(E$91+E95+E96+E97+E98)*0.05</f>
        <v>361187.8859325</v>
      </c>
      <c r="F99" s="389">
        <v>0</v>
      </c>
      <c r="G99" s="398"/>
      <c r="H99" s="145"/>
      <c r="I99" s="382"/>
    </row>
    <row r="100" spans="1:9" ht="13.5" customHeight="1">
      <c r="A100" s="142"/>
      <c r="B100" s="143" t="s">
        <v>19</v>
      </c>
      <c r="C100" s="146"/>
      <c r="D100" s="391">
        <f>(D$91+D95+D96+D97+D98+D99)*0.2</f>
        <v>958255.5100738126</v>
      </c>
      <c r="E100" s="391">
        <f>(E$91+E95+E96+E97+E98+E99)*0.2</f>
        <v>1516989.1209165</v>
      </c>
      <c r="F100" s="389">
        <v>0</v>
      </c>
      <c r="G100" s="441"/>
      <c r="H100" s="145"/>
      <c r="I100" s="382"/>
    </row>
    <row r="101" spans="1:11" ht="13.5" customHeight="1">
      <c r="A101" s="142"/>
      <c r="B101" s="154"/>
      <c r="C101" s="148"/>
      <c r="D101" s="436"/>
      <c r="E101" s="373"/>
      <c r="F101" s="389">
        <v>0</v>
      </c>
      <c r="G101" s="399"/>
      <c r="H101" s="149"/>
      <c r="I101" s="141"/>
      <c r="K101" s="180"/>
    </row>
    <row r="102" spans="1:10" s="88" customFormat="1" ht="13.5" customHeight="1">
      <c r="A102" s="349"/>
      <c r="B102" s="383" t="s">
        <v>532</v>
      </c>
      <c r="C102" s="144"/>
      <c r="D102" s="392">
        <f>SUM(D95:D101)</f>
        <v>2178037.364014304</v>
      </c>
      <c r="E102" s="392">
        <f>SUM(E95:E101)</f>
        <v>3447993.7254990004</v>
      </c>
      <c r="F102" s="388"/>
      <c r="G102" s="396"/>
      <c r="H102" s="145"/>
      <c r="I102" s="308"/>
      <c r="J102" s="309"/>
    </row>
    <row r="103" spans="1:8" ht="13.5" customHeight="1">
      <c r="A103" s="142"/>
      <c r="B103" s="154"/>
      <c r="C103" s="148"/>
      <c r="D103" s="437"/>
      <c r="E103" s="373"/>
      <c r="F103" s="389"/>
      <c r="G103" s="400"/>
      <c r="H103" s="149"/>
    </row>
    <row r="104" spans="1:8" ht="13.5" customHeight="1">
      <c r="A104" s="142"/>
      <c r="B104" s="144"/>
      <c r="C104" s="72"/>
      <c r="D104" s="437"/>
      <c r="E104" s="401"/>
      <c r="F104" s="402"/>
      <c r="G104" s="398"/>
      <c r="H104" s="126"/>
    </row>
    <row r="105" spans="1:8" ht="13.5" customHeight="1">
      <c r="A105" s="135" t="s">
        <v>439</v>
      </c>
      <c r="B105" s="150"/>
      <c r="C105" s="136"/>
      <c r="D105" s="438"/>
      <c r="E105" s="403"/>
      <c r="F105" s="404"/>
      <c r="G105" s="399">
        <f>SUM(D106+E106)</f>
        <v>2079205.4900318629</v>
      </c>
      <c r="H105" s="137"/>
    </row>
    <row r="106" spans="1:9" ht="13.5" customHeight="1">
      <c r="A106" s="142"/>
      <c r="B106" s="146" t="s">
        <v>20</v>
      </c>
      <c r="C106" s="72"/>
      <c r="D106" s="392">
        <f>(D$91+D102)*0.14</f>
        <v>804934.6284620026</v>
      </c>
      <c r="E106" s="392">
        <f>(E$91+E102)*0.14</f>
        <v>1274270.8615698603</v>
      </c>
      <c r="F106" s="389">
        <v>0</v>
      </c>
      <c r="G106" s="405"/>
      <c r="H106" s="145"/>
      <c r="I106" s="151"/>
    </row>
    <row r="107" spans="1:8" ht="13.5" customHeight="1">
      <c r="A107" s="68"/>
      <c r="B107" s="144"/>
      <c r="C107" s="72"/>
      <c r="D107" s="437"/>
      <c r="E107" s="406"/>
      <c r="F107" s="407"/>
      <c r="G107" s="408"/>
      <c r="H107" s="149"/>
    </row>
    <row r="108" spans="1:8" ht="13.5" customHeight="1">
      <c r="A108" s="142"/>
      <c r="B108" s="144"/>
      <c r="C108" s="144"/>
      <c r="D108" s="437"/>
      <c r="E108" s="409"/>
      <c r="F108" s="410"/>
      <c r="G108" s="411"/>
      <c r="H108" s="126"/>
    </row>
    <row r="109" spans="1:8" ht="13.5" customHeight="1">
      <c r="A109" s="135" t="s">
        <v>440</v>
      </c>
      <c r="B109" s="153"/>
      <c r="C109" s="152"/>
      <c r="D109" s="438" t="s">
        <v>149</v>
      </c>
      <c r="E109" s="412"/>
      <c r="F109" s="413"/>
      <c r="G109" s="399">
        <v>0</v>
      </c>
      <c r="H109" s="137"/>
    </row>
    <row r="110" spans="1:9" ht="13.5" customHeight="1">
      <c r="A110" s="142"/>
      <c r="B110" s="146" t="s">
        <v>237</v>
      </c>
      <c r="C110" s="72"/>
      <c r="D110" s="439"/>
      <c r="E110" s="409">
        <v>0</v>
      </c>
      <c r="F110" s="414"/>
      <c r="G110" s="405"/>
      <c r="H110" s="145"/>
      <c r="I110" s="151"/>
    </row>
    <row r="111" spans="1:8" ht="13.5" customHeight="1">
      <c r="A111" s="142"/>
      <c r="B111" s="146"/>
      <c r="C111" s="70"/>
      <c r="D111" s="437"/>
      <c r="E111" s="409"/>
      <c r="F111" s="414"/>
      <c r="G111" s="408"/>
      <c r="H111" s="126"/>
    </row>
    <row r="112" spans="1:8" ht="13.5" customHeight="1">
      <c r="A112" s="135" t="s">
        <v>238</v>
      </c>
      <c r="B112" s="153"/>
      <c r="C112" s="152"/>
      <c r="D112" s="438" t="s">
        <v>149</v>
      </c>
      <c r="E112" s="412"/>
      <c r="F112" s="413"/>
      <c r="G112" s="399">
        <v>0</v>
      </c>
      <c r="H112" s="137"/>
    </row>
    <row r="113" spans="1:8" ht="13.5" customHeight="1">
      <c r="A113" s="142"/>
      <c r="B113" s="146" t="s">
        <v>240</v>
      </c>
      <c r="C113" s="146"/>
      <c r="D113" s="437"/>
      <c r="E113" s="409">
        <v>0</v>
      </c>
      <c r="F113" s="414"/>
      <c r="G113" s="415"/>
      <c r="H113" s="145"/>
    </row>
    <row r="114" spans="1:8" ht="13.5" customHeight="1">
      <c r="A114" s="142"/>
      <c r="B114" s="146"/>
      <c r="C114" s="70"/>
      <c r="D114" s="437"/>
      <c r="E114" s="409"/>
      <c r="F114" s="414"/>
      <c r="G114" s="408"/>
      <c r="H114" s="145"/>
    </row>
    <row r="115" spans="1:8" ht="13.5" customHeight="1">
      <c r="A115" s="135" t="s">
        <v>239</v>
      </c>
      <c r="B115" s="153"/>
      <c r="C115" s="152"/>
      <c r="D115" s="438" t="s">
        <v>149</v>
      </c>
      <c r="E115" s="412"/>
      <c r="F115" s="413"/>
      <c r="G115" s="399">
        <v>0</v>
      </c>
      <c r="H115" s="137"/>
    </row>
    <row r="116" spans="1:8" ht="13.5" customHeight="1">
      <c r="A116" s="138"/>
      <c r="B116" s="146" t="s">
        <v>240</v>
      </c>
      <c r="C116" s="147"/>
      <c r="D116" s="440"/>
      <c r="E116" s="416">
        <v>0</v>
      </c>
      <c r="F116" s="417"/>
      <c r="G116" s="418"/>
      <c r="H116" s="140"/>
    </row>
    <row r="117" spans="1:8" ht="13.5" customHeight="1">
      <c r="A117" s="138"/>
      <c r="B117" s="146"/>
      <c r="C117" s="147"/>
      <c r="D117" s="440"/>
      <c r="E117" s="409"/>
      <c r="F117" s="419"/>
      <c r="G117" s="420"/>
      <c r="H117" s="140"/>
    </row>
    <row r="118" spans="1:8" ht="13.5" customHeight="1">
      <c r="A118" s="142"/>
      <c r="B118" s="144"/>
      <c r="C118" s="72"/>
      <c r="D118" s="437"/>
      <c r="E118" s="406"/>
      <c r="F118" s="407"/>
      <c r="G118" s="420"/>
      <c r="H118" s="126"/>
    </row>
    <row r="119" spans="1:10" ht="12.75" customHeight="1" thickBot="1">
      <c r="A119" s="313" t="s">
        <v>241</v>
      </c>
      <c r="B119" s="314"/>
      <c r="C119" s="314"/>
      <c r="D119" s="421">
        <f>SUM(D91+D102+D106)</f>
        <v>6554467.688904878</v>
      </c>
      <c r="E119" s="421">
        <f>SUM(E91+E102+E106)</f>
        <v>10376205.587068861</v>
      </c>
      <c r="F119" s="422">
        <v>0</v>
      </c>
      <c r="G119" s="423">
        <f>SUM(G91:G116)</f>
        <v>16930673.275973737</v>
      </c>
      <c r="H119" s="315"/>
      <c r="I119" s="385">
        <f>SUM(D119:E119)</f>
        <v>16930673.275973737</v>
      </c>
      <c r="J119" s="67" t="s">
        <v>531</v>
      </c>
    </row>
    <row r="120" spans="1:8" ht="12.75" customHeight="1">
      <c r="A120" s="310"/>
      <c r="B120" s="311"/>
      <c r="C120" s="155"/>
      <c r="D120" s="343"/>
      <c r="E120" s="346"/>
      <c r="F120" s="156"/>
      <c r="G120" s="157"/>
      <c r="H120" s="64"/>
    </row>
    <row r="121" spans="1:8" ht="12.75" customHeight="1">
      <c r="A121" s="312"/>
      <c r="B121" s="88"/>
      <c r="E121" s="347"/>
      <c r="F121" s="159"/>
      <c r="H121" s="72"/>
    </row>
    <row r="122" spans="1:8" ht="12.75" customHeight="1">
      <c r="A122" s="312"/>
      <c r="B122" s="88"/>
      <c r="E122" s="347"/>
      <c r="F122" s="159"/>
      <c r="H122" s="72"/>
    </row>
    <row r="123" spans="1:8" ht="12.75" customHeight="1">
      <c r="A123" s="312"/>
      <c r="B123" s="88"/>
      <c r="E123" s="347"/>
      <c r="F123" s="159"/>
      <c r="H123" s="72"/>
    </row>
    <row r="124" spans="1:8" ht="12.75" customHeight="1">
      <c r="A124" s="312"/>
      <c r="B124" s="88"/>
      <c r="E124" s="347"/>
      <c r="F124" s="159"/>
      <c r="H124" s="72"/>
    </row>
    <row r="125" spans="1:8" ht="12.75" customHeight="1">
      <c r="A125" s="312"/>
      <c r="B125" s="88"/>
      <c r="E125" s="347"/>
      <c r="F125" s="159"/>
      <c r="H125" s="72"/>
    </row>
    <row r="126" spans="1:8" ht="12.75" customHeight="1">
      <c r="A126" s="312"/>
      <c r="B126" s="88"/>
      <c r="E126" s="347"/>
      <c r="F126" s="159"/>
      <c r="H126" s="72"/>
    </row>
    <row r="127" spans="1:8" ht="12.75" customHeight="1">
      <c r="A127" s="312"/>
      <c r="B127" s="88"/>
      <c r="E127" s="347"/>
      <c r="F127" s="159"/>
      <c r="H127" s="72"/>
    </row>
    <row r="128" spans="1:8" ht="12.75" customHeight="1">
      <c r="A128" s="312"/>
      <c r="B128" s="88"/>
      <c r="E128" s="347"/>
      <c r="F128" s="159"/>
      <c r="H128" s="72"/>
    </row>
    <row r="129" spans="1:8" ht="12.75" customHeight="1">
      <c r="A129" s="312"/>
      <c r="B129" s="88"/>
      <c r="E129" s="347"/>
      <c r="F129" s="159"/>
      <c r="H129" s="72"/>
    </row>
    <row r="130" spans="1:8" ht="12.75" customHeight="1">
      <c r="A130" s="312"/>
      <c r="B130" s="88"/>
      <c r="E130" s="347"/>
      <c r="F130" s="159"/>
      <c r="H130" s="72"/>
    </row>
    <row r="131" spans="1:8" ht="12.75" customHeight="1">
      <c r="A131" s="312"/>
      <c r="B131" s="88"/>
      <c r="E131" s="347"/>
      <c r="F131" s="159"/>
      <c r="H131" s="72"/>
    </row>
    <row r="132" spans="1:8" ht="12.75" customHeight="1">
      <c r="A132" s="312"/>
      <c r="B132" s="88"/>
      <c r="E132" s="347"/>
      <c r="F132" s="159"/>
      <c r="H132" s="72"/>
    </row>
    <row r="133" spans="1:8" ht="12.75" customHeight="1">
      <c r="A133" s="312"/>
      <c r="B133" s="88"/>
      <c r="E133" s="347"/>
      <c r="F133" s="159"/>
      <c r="H133" s="72"/>
    </row>
    <row r="134" spans="1:8" ht="12.75" customHeight="1">
      <c r="A134" s="312"/>
      <c r="B134" s="88"/>
      <c r="E134" s="347"/>
      <c r="F134" s="159"/>
      <c r="H134" s="72"/>
    </row>
    <row r="135" spans="1:8" ht="12.75" customHeight="1">
      <c r="A135" s="312"/>
      <c r="B135" s="88"/>
      <c r="E135" s="347"/>
      <c r="F135" s="159"/>
      <c r="H135" s="72"/>
    </row>
    <row r="136" spans="1:8" ht="12.75" customHeight="1">
      <c r="A136" s="312"/>
      <c r="B136" s="88"/>
      <c r="E136" s="347"/>
      <c r="F136" s="159"/>
      <c r="H136" s="72"/>
    </row>
    <row r="137" spans="1:8" ht="12.75" customHeight="1">
      <c r="A137" s="312"/>
      <c r="B137" s="88"/>
      <c r="E137" s="347"/>
      <c r="F137" s="159"/>
      <c r="H137" s="72"/>
    </row>
    <row r="138" spans="1:8" ht="12.75" customHeight="1">
      <c r="A138" s="312"/>
      <c r="B138" s="88"/>
      <c r="E138" s="347"/>
      <c r="F138" s="159"/>
      <c r="H138" s="72"/>
    </row>
    <row r="139" spans="1:8" ht="12.75" customHeight="1">
      <c r="A139" s="312"/>
      <c r="B139" s="88"/>
      <c r="E139" s="347"/>
      <c r="F139" s="159"/>
      <c r="H139" s="72"/>
    </row>
    <row r="140" spans="1:8" ht="12.75" customHeight="1">
      <c r="A140" s="312"/>
      <c r="B140" s="88"/>
      <c r="E140" s="347"/>
      <c r="F140" s="159"/>
      <c r="H140" s="72"/>
    </row>
    <row r="141" spans="1:8" ht="12.75" customHeight="1">
      <c r="A141" s="312"/>
      <c r="B141" s="88"/>
      <c r="E141" s="347"/>
      <c r="F141" s="159"/>
      <c r="H141" s="72"/>
    </row>
    <row r="142" spans="1:8" ht="12.75" customHeight="1">
      <c r="A142" s="312"/>
      <c r="B142" s="88"/>
      <c r="E142" s="347"/>
      <c r="F142" s="159"/>
      <c r="H142" s="72"/>
    </row>
    <row r="143" spans="1:8" ht="12.75" customHeight="1">
      <c r="A143" s="312"/>
      <c r="B143" s="88"/>
      <c r="E143" s="347"/>
      <c r="F143" s="159"/>
      <c r="H143" s="72"/>
    </row>
    <row r="144" spans="1:8" ht="12.75" customHeight="1">
      <c r="A144" s="312"/>
      <c r="B144" s="88"/>
      <c r="E144" s="347"/>
      <c r="F144" s="159"/>
      <c r="H144" s="72"/>
    </row>
    <row r="145" spans="1:8" ht="12.75" customHeight="1">
      <c r="A145" s="312"/>
      <c r="B145" s="88"/>
      <c r="E145" s="347"/>
      <c r="F145" s="159"/>
      <c r="H145" s="72"/>
    </row>
    <row r="146" spans="1:8" ht="12.75" customHeight="1">
      <c r="A146" s="312"/>
      <c r="B146" s="88"/>
      <c r="E146" s="347"/>
      <c r="F146" s="159"/>
      <c r="H146" s="72"/>
    </row>
    <row r="147" spans="1:2" ht="12.75" customHeight="1">
      <c r="A147" s="312"/>
      <c r="B147" s="88"/>
    </row>
    <row r="148" spans="1:2" ht="12.75" customHeight="1">
      <c r="A148" s="312"/>
      <c r="B148" s="88"/>
    </row>
    <row r="149" spans="1:2" ht="12.75" customHeight="1">
      <c r="A149" s="312"/>
      <c r="B149" s="88"/>
    </row>
    <row r="150" spans="1:2" ht="12.75" customHeight="1">
      <c r="A150" s="312"/>
      <c r="B150" s="88"/>
    </row>
    <row r="151" spans="1:2" ht="12.75" customHeight="1">
      <c r="A151" s="312"/>
      <c r="B151" s="88"/>
    </row>
    <row r="152" spans="1:2" ht="12.75" customHeight="1">
      <c r="A152" s="312"/>
      <c r="B152" s="88"/>
    </row>
    <row r="153" spans="1:2" ht="12.75" customHeight="1">
      <c r="A153" s="312"/>
      <c r="B153" s="88"/>
    </row>
    <row r="154" spans="1:2" ht="12.75" customHeight="1">
      <c r="A154" s="312"/>
      <c r="B154" s="88"/>
    </row>
    <row r="155" spans="1:2" ht="12.75" customHeight="1">
      <c r="A155" s="312"/>
      <c r="B155" s="88"/>
    </row>
    <row r="156" spans="1:2" ht="12.75" customHeight="1">
      <c r="A156" s="312"/>
      <c r="B156" s="88"/>
    </row>
    <row r="157" spans="1:2" ht="12.75" customHeight="1">
      <c r="A157" s="312"/>
      <c r="B157" s="88"/>
    </row>
    <row r="158" spans="1:2" ht="12.75" customHeight="1">
      <c r="A158" s="312"/>
      <c r="B158" s="88"/>
    </row>
    <row r="159" spans="1:2" ht="12.75" customHeight="1">
      <c r="A159" s="312"/>
      <c r="B159" s="88"/>
    </row>
    <row r="160" spans="1:2" ht="12.75" customHeight="1">
      <c r="A160" s="312"/>
      <c r="B160" s="88"/>
    </row>
    <row r="161" spans="1:2" ht="12.75" customHeight="1">
      <c r="A161" s="312"/>
      <c r="B161" s="88"/>
    </row>
    <row r="162" spans="1:2" ht="12.75" customHeight="1">
      <c r="A162" s="312"/>
      <c r="B162" s="88"/>
    </row>
    <row r="163" spans="1:2" ht="12.75" customHeight="1">
      <c r="A163" s="312"/>
      <c r="B163" s="88"/>
    </row>
    <row r="164" spans="1:2" ht="12.75" customHeight="1">
      <c r="A164" s="312"/>
      <c r="B164" s="88"/>
    </row>
    <row r="165" spans="1:2" ht="12.75" customHeight="1">
      <c r="A165" s="312"/>
      <c r="B165" s="88"/>
    </row>
    <row r="166" spans="1:2" ht="12.75" customHeight="1">
      <c r="A166" s="312"/>
      <c r="B166" s="88"/>
    </row>
    <row r="167" spans="1:2" ht="12.75" customHeight="1">
      <c r="A167" s="312"/>
      <c r="B167" s="88"/>
    </row>
    <row r="168" spans="1:2" ht="12.75" customHeight="1">
      <c r="A168" s="312"/>
      <c r="B168" s="88"/>
    </row>
    <row r="169" spans="1:2" ht="12.75" customHeight="1">
      <c r="A169" s="312"/>
      <c r="B169" s="88"/>
    </row>
    <row r="170" spans="1:2" ht="12.75" customHeight="1">
      <c r="A170" s="312"/>
      <c r="B170" s="88"/>
    </row>
    <row r="171" spans="1:2" ht="12.75" customHeight="1">
      <c r="A171" s="312"/>
      <c r="B171" s="88"/>
    </row>
    <row r="172" spans="1:2" ht="12.75" customHeight="1">
      <c r="A172" s="312"/>
      <c r="B172" s="88"/>
    </row>
    <row r="173" spans="1:2" ht="12.75" customHeight="1">
      <c r="A173" s="312"/>
      <c r="B173" s="88"/>
    </row>
    <row r="174" spans="1:2" ht="12.75" customHeight="1">
      <c r="A174" s="312"/>
      <c r="B174" s="88"/>
    </row>
    <row r="175" spans="1:2" ht="12.75" customHeight="1">
      <c r="A175" s="312"/>
      <c r="B175" s="88"/>
    </row>
    <row r="176" spans="1:2" ht="12.75" customHeight="1">
      <c r="A176" s="312"/>
      <c r="B176" s="88"/>
    </row>
    <row r="177" spans="1:2" ht="12.75" customHeight="1">
      <c r="A177" s="312"/>
      <c r="B177" s="88"/>
    </row>
    <row r="178" spans="1:2" ht="12.75" customHeight="1">
      <c r="A178" s="312"/>
      <c r="B178" s="88"/>
    </row>
    <row r="179" spans="1:2" ht="12.75" customHeight="1">
      <c r="A179" s="312"/>
      <c r="B179" s="88"/>
    </row>
    <row r="180" spans="1:2" ht="12.75" customHeight="1">
      <c r="A180" s="312"/>
      <c r="B180" s="88"/>
    </row>
    <row r="181" spans="1:2" ht="12.75" customHeight="1">
      <c r="A181" s="312"/>
      <c r="B181" s="88"/>
    </row>
    <row r="182" spans="1:2" ht="12.75" customHeight="1">
      <c r="A182" s="312"/>
      <c r="B182" s="88"/>
    </row>
    <row r="183" spans="1:2" ht="12.75" customHeight="1">
      <c r="A183" s="312"/>
      <c r="B183" s="88"/>
    </row>
    <row r="184" spans="1:2" ht="12.75" customHeight="1">
      <c r="A184" s="312"/>
      <c r="B184" s="88"/>
    </row>
    <row r="185" spans="1:2" ht="12.75" customHeight="1">
      <c r="A185" s="312"/>
      <c r="B185" s="88"/>
    </row>
    <row r="186" spans="1:2" ht="12.75" customHeight="1">
      <c r="A186" s="312"/>
      <c r="B186" s="88"/>
    </row>
    <row r="187" spans="1:2" ht="12.75" customHeight="1">
      <c r="A187" s="312"/>
      <c r="B187" s="88"/>
    </row>
    <row r="188" spans="1:2" ht="12.75" customHeight="1">
      <c r="A188" s="312"/>
      <c r="B188" s="88"/>
    </row>
    <row r="189" spans="1:2" ht="12.75" customHeight="1">
      <c r="A189" s="312"/>
      <c r="B189" s="88"/>
    </row>
    <row r="190" spans="1:2" ht="12.75" customHeight="1">
      <c r="A190" s="312"/>
      <c r="B190" s="88"/>
    </row>
    <row r="191" spans="1:2" ht="12.75" customHeight="1">
      <c r="A191" s="312"/>
      <c r="B191" s="88"/>
    </row>
    <row r="192" spans="1:2" ht="12.75" customHeight="1">
      <c r="A192" s="312"/>
      <c r="B192" s="88"/>
    </row>
    <row r="193" spans="1:2" ht="12.75" customHeight="1">
      <c r="A193" s="312"/>
      <c r="B193" s="88"/>
    </row>
    <row r="194" spans="1:2" ht="12.75" customHeight="1">
      <c r="A194" s="312"/>
      <c r="B194" s="88"/>
    </row>
    <row r="195" spans="1:2" ht="12.75" customHeight="1">
      <c r="A195" s="312"/>
      <c r="B195" s="88"/>
    </row>
    <row r="196" spans="1:2" ht="12.75" customHeight="1">
      <c r="A196" s="312"/>
      <c r="B196" s="88"/>
    </row>
    <row r="197" spans="1:2" ht="12.75" customHeight="1">
      <c r="A197" s="312"/>
      <c r="B197" s="88"/>
    </row>
    <row r="198" spans="1:2" ht="12.75" customHeight="1">
      <c r="A198" s="312"/>
      <c r="B198" s="88"/>
    </row>
    <row r="199" spans="1:2" ht="12.75" customHeight="1">
      <c r="A199" s="312"/>
      <c r="B199" s="88"/>
    </row>
    <row r="200" spans="1:2" ht="12.75" customHeight="1">
      <c r="A200" s="312"/>
      <c r="B200" s="88"/>
    </row>
    <row r="201" spans="1:2" ht="12.75" customHeight="1">
      <c r="A201" s="312"/>
      <c r="B201" s="88"/>
    </row>
    <row r="202" spans="1:2" ht="12.75" customHeight="1">
      <c r="A202" s="312"/>
      <c r="B202" s="88"/>
    </row>
    <row r="203" spans="1:2" ht="12.75" customHeight="1">
      <c r="A203" s="312"/>
      <c r="B203" s="88"/>
    </row>
    <row r="204" spans="1:2" ht="12.75" customHeight="1">
      <c r="A204" s="312"/>
      <c r="B204" s="88"/>
    </row>
    <row r="205" spans="1:2" ht="12.75" customHeight="1">
      <c r="A205" s="312"/>
      <c r="B205" s="88"/>
    </row>
    <row r="206" spans="1:2" ht="12.75" customHeight="1">
      <c r="A206" s="312"/>
      <c r="B206" s="88"/>
    </row>
    <row r="207" spans="1:2" ht="12.75" customHeight="1">
      <c r="A207" s="312"/>
      <c r="B207" s="88"/>
    </row>
    <row r="208" spans="1:2" ht="12.75" customHeight="1">
      <c r="A208" s="312"/>
      <c r="B208" s="88"/>
    </row>
    <row r="209" spans="1:2" ht="12.75" customHeight="1">
      <c r="A209" s="312"/>
      <c r="B209" s="88"/>
    </row>
    <row r="210" spans="1:2" ht="12.75" customHeight="1">
      <c r="A210" s="312"/>
      <c r="B210" s="88"/>
    </row>
    <row r="211" spans="1:2" ht="12.75" customHeight="1">
      <c r="A211" s="312"/>
      <c r="B211" s="88"/>
    </row>
    <row r="212" spans="1:2" ht="12.75" customHeight="1">
      <c r="A212" s="312"/>
      <c r="B212" s="88"/>
    </row>
    <row r="213" spans="1:2" ht="12.75" customHeight="1">
      <c r="A213" s="312"/>
      <c r="B213" s="88"/>
    </row>
    <row r="214" spans="1:2" ht="12.75" customHeight="1">
      <c r="A214" s="312"/>
      <c r="B214" s="88"/>
    </row>
    <row r="215" spans="1:2" ht="12.75" customHeight="1">
      <c r="A215" s="312"/>
      <c r="B215" s="88"/>
    </row>
    <row r="216" spans="1:2" ht="12.75" customHeight="1">
      <c r="A216" s="312"/>
      <c r="B216" s="88"/>
    </row>
    <row r="217" spans="1:2" ht="12.75" customHeight="1">
      <c r="A217" s="312"/>
      <c r="B217" s="88"/>
    </row>
    <row r="218" spans="1:2" ht="12.75" customHeight="1">
      <c r="A218" s="312"/>
      <c r="B218" s="88"/>
    </row>
    <row r="219" spans="1:2" ht="12.75" customHeight="1">
      <c r="A219" s="312"/>
      <c r="B219" s="88"/>
    </row>
    <row r="220" spans="1:2" ht="12.75" customHeight="1">
      <c r="A220" s="312"/>
      <c r="B220" s="88"/>
    </row>
    <row r="221" spans="1:2" ht="12.75" customHeight="1">
      <c r="A221" s="312"/>
      <c r="B221" s="88"/>
    </row>
    <row r="222" spans="1:2" ht="12.75" customHeight="1">
      <c r="A222" s="312"/>
      <c r="B222" s="88"/>
    </row>
    <row r="223" spans="1:2" ht="12.75" customHeight="1">
      <c r="A223" s="312"/>
      <c r="B223" s="88"/>
    </row>
    <row r="224" spans="1:2" ht="12.75" customHeight="1">
      <c r="A224" s="312"/>
      <c r="B224" s="88"/>
    </row>
    <row r="225" spans="1:2" ht="12.75" customHeight="1">
      <c r="A225" s="312"/>
      <c r="B225" s="88"/>
    </row>
    <row r="226" spans="1:2" ht="12.75" customHeight="1">
      <c r="A226" s="312"/>
      <c r="B226" s="88"/>
    </row>
    <row r="227" spans="1:2" ht="12.75" customHeight="1">
      <c r="A227" s="312"/>
      <c r="B227" s="88"/>
    </row>
    <row r="228" spans="1:2" ht="12.75" customHeight="1">
      <c r="A228" s="312"/>
      <c r="B228" s="88"/>
    </row>
    <row r="229" spans="1:2" ht="12.75" customHeight="1">
      <c r="A229" s="312"/>
      <c r="B229" s="88"/>
    </row>
    <row r="230" spans="1:2" ht="12.75" customHeight="1">
      <c r="A230" s="312"/>
      <c r="B230" s="88"/>
    </row>
    <row r="231" spans="1:2" ht="12.75" customHeight="1">
      <c r="A231" s="312"/>
      <c r="B231" s="88"/>
    </row>
    <row r="232" spans="1:2" ht="12.75" customHeight="1">
      <c r="A232" s="312"/>
      <c r="B232" s="88"/>
    </row>
    <row r="233" spans="1:2" ht="12.75" customHeight="1">
      <c r="A233" s="312"/>
      <c r="B233" s="88"/>
    </row>
    <row r="234" spans="1:2" ht="12.75" customHeight="1">
      <c r="A234" s="312"/>
      <c r="B234" s="88"/>
    </row>
    <row r="235" spans="1:2" ht="12.75" customHeight="1">
      <c r="A235" s="312"/>
      <c r="B235" s="88"/>
    </row>
    <row r="236" spans="1:2" ht="12.75" customHeight="1">
      <c r="A236" s="312"/>
      <c r="B236" s="88"/>
    </row>
    <row r="237" spans="1:2" ht="12.75" customHeight="1">
      <c r="A237" s="312"/>
      <c r="B237" s="88"/>
    </row>
    <row r="238" spans="1:2" ht="12.75" customHeight="1">
      <c r="A238" s="312"/>
      <c r="B238" s="88"/>
    </row>
    <row r="239" spans="1:2" ht="12.75" customHeight="1">
      <c r="A239" s="312"/>
      <c r="B239" s="88"/>
    </row>
    <row r="240" spans="1:2" ht="12.75" customHeight="1">
      <c r="A240" s="312"/>
      <c r="B240" s="88"/>
    </row>
    <row r="241" spans="1:2" ht="12.75" customHeight="1">
      <c r="A241" s="312"/>
      <c r="B241" s="88"/>
    </row>
    <row r="242" spans="1:2" ht="12.75" customHeight="1">
      <c r="A242" s="312"/>
      <c r="B242" s="88"/>
    </row>
  </sheetData>
  <printOptions horizontalCentered="1"/>
  <pageMargins left="0.6" right="0.5" top="0.5" bottom="0.5" header="0.25" footer="0.25"/>
  <pageSetup fitToHeight="2" horizontalDpi="600" verticalDpi="600" orientation="portrait" scale="75" r:id="rId2"/>
  <headerFooter alignWithMargins="0">
    <oddFooter>&amp;L&amp;"Helvetica,Bold Italic"&amp;9&amp;F; &amp;A&amp;C&amp;"Helvetica,Bold"&amp;9Page &amp;P of &amp;N&amp;R&amp;"Helvetica,Bold Italic"&amp;9&amp;D, &amp;T
</oddFooter>
  </headerFooter>
  <rowBreaks count="1" manualBreakCount="1">
    <brk id="62" max="6"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A1" sqref="A1"/>
    </sheetView>
  </sheetViews>
  <sheetFormatPr defaultColWidth="9.140625" defaultRowHeight="12.75"/>
  <cols>
    <col min="1" max="1" width="15.28125" style="88" customWidth="1"/>
    <col min="2" max="2" width="17.421875" style="67" customWidth="1"/>
    <col min="3" max="3" width="24.8515625" style="67" customWidth="1"/>
    <col min="4" max="4" width="9.28125" style="67" customWidth="1"/>
    <col min="5" max="5" width="9.140625" style="89" customWidth="1"/>
    <col min="6" max="6" width="9.28125" style="67" customWidth="1"/>
    <col min="7" max="7" width="12.28125" style="91" customWidth="1"/>
    <col min="8" max="16384" width="9.140625" style="67" customWidth="1"/>
  </cols>
  <sheetData>
    <row r="1" spans="1:7" ht="12.75">
      <c r="A1" s="61" t="s">
        <v>186</v>
      </c>
      <c r="B1" s="60">
        <f>SGMS_Number</f>
        <v>21868</v>
      </c>
      <c r="C1" s="62"/>
      <c r="D1" s="63"/>
      <c r="E1" s="64"/>
      <c r="F1" s="65" t="s">
        <v>187</v>
      </c>
      <c r="G1" s="66">
        <f>Report_Date</f>
        <v>37951</v>
      </c>
    </row>
    <row r="2" spans="1:7" ht="12.75">
      <c r="A2" s="68" t="s">
        <v>188</v>
      </c>
      <c r="B2" s="69" t="e">
        <f>#REF!</f>
        <v>#REF!</v>
      </c>
      <c r="C2" s="70"/>
      <c r="D2" s="71"/>
      <c r="E2" s="72"/>
      <c r="F2" s="73" t="s">
        <v>189</v>
      </c>
      <c r="G2" s="74"/>
    </row>
    <row r="3" spans="1:7" ht="12.75">
      <c r="A3" s="68" t="s">
        <v>190</v>
      </c>
      <c r="B3" s="69" t="e">
        <f>#REF!</f>
        <v>#REF!</v>
      </c>
      <c r="C3" s="70"/>
      <c r="D3" s="71"/>
      <c r="E3" s="72"/>
      <c r="F3" s="75" t="s">
        <v>191</v>
      </c>
      <c r="G3" s="76">
        <f>Bid_Date</f>
        <v>37951</v>
      </c>
    </row>
    <row r="4" spans="1:7" ht="13.5" thickBot="1">
      <c r="A4" s="77" t="s">
        <v>192</v>
      </c>
      <c r="B4" s="78" t="e">
        <f>#REF!</f>
        <v>#REF!</v>
      </c>
      <c r="C4" s="79"/>
      <c r="D4" s="80"/>
      <c r="E4" s="81"/>
      <c r="F4" s="82" t="s">
        <v>193</v>
      </c>
      <c r="G4" s="83" t="s">
        <v>194</v>
      </c>
    </row>
    <row r="5" spans="1:7" ht="13.5" thickBot="1">
      <c r="A5" s="84"/>
      <c r="B5" s="78"/>
      <c r="C5" s="79"/>
      <c r="D5" s="80"/>
      <c r="E5" s="81"/>
      <c r="F5" s="82"/>
      <c r="G5" s="85"/>
    </row>
    <row r="6" spans="1:7" ht="13.5" thickBot="1">
      <c r="A6" s="86" t="s">
        <v>195</v>
      </c>
      <c r="B6" s="86"/>
      <c r="C6" s="86" t="s">
        <v>313</v>
      </c>
      <c r="D6" s="86" t="s">
        <v>163</v>
      </c>
      <c r="E6" s="86"/>
      <c r="F6" s="86" t="s">
        <v>314</v>
      </c>
      <c r="G6" s="87" t="s">
        <v>315</v>
      </c>
    </row>
    <row r="7" ht="12.75">
      <c r="F7" s="90"/>
    </row>
    <row r="8" ht="18">
      <c r="A8" s="49" t="str">
        <f>Section_1</f>
        <v>A. Exterior - Wood Half-timbers</v>
      </c>
    </row>
    <row r="9" ht="12.75">
      <c r="B9" s="41"/>
    </row>
    <row r="10" spans="1:6" ht="12.75">
      <c r="A10" s="42" t="s">
        <v>324</v>
      </c>
      <c r="D10" s="92">
        <f>D12</f>
        <v>1142.3775</v>
      </c>
      <c r="E10" s="93" t="s">
        <v>123</v>
      </c>
      <c r="F10" s="46">
        <f>G16/D10</f>
        <v>5</v>
      </c>
    </row>
    <row r="11" spans="1:4" ht="12.75">
      <c r="A11" s="43"/>
      <c r="D11" s="94"/>
    </row>
    <row r="12" spans="1:7" ht="12.75">
      <c r="A12" s="95" t="s">
        <v>333</v>
      </c>
      <c r="B12" s="88"/>
      <c r="D12" s="44">
        <f>D13</f>
        <v>1142.3775</v>
      </c>
      <c r="E12" s="45" t="s">
        <v>123</v>
      </c>
      <c r="F12" s="46">
        <f>SUM(G12:G13)/D12</f>
        <v>5</v>
      </c>
      <c r="G12" s="115"/>
    </row>
    <row r="13" spans="1:7" ht="12.75">
      <c r="A13" s="97" t="s">
        <v>341</v>
      </c>
      <c r="B13" s="98"/>
      <c r="C13" s="99"/>
      <c r="D13" s="100">
        <f>43.5*8+7.5*13.75+19.75*6+19.5*25.33+10.17*7.75</f>
        <v>1142.3775</v>
      </c>
      <c r="E13" s="101" t="s">
        <v>123</v>
      </c>
      <c r="F13" s="102">
        <v>5</v>
      </c>
      <c r="G13" s="103">
        <f>D13*F13</f>
        <v>5711.887500000001</v>
      </c>
    </row>
    <row r="14" spans="1:7" ht="12.75">
      <c r="A14" s="97"/>
      <c r="B14" s="88"/>
      <c r="D14" s="44"/>
      <c r="E14" s="45"/>
      <c r="F14" s="46"/>
      <c r="G14" s="96"/>
    </row>
    <row r="15" spans="3:7" s="88" customFormat="1" ht="12.75" customHeight="1" thickBot="1">
      <c r="C15" s="67"/>
      <c r="D15" s="104"/>
      <c r="E15" s="89"/>
      <c r="F15" s="67"/>
      <c r="G15" s="80"/>
    </row>
    <row r="16" spans="6:7" ht="12.75">
      <c r="F16" s="47" t="str">
        <f>A8</f>
        <v>A. Exterior - Wood Half-timbers</v>
      </c>
      <c r="G16" s="48">
        <f>SUM(G10:G15)</f>
        <v>5711.887500000001</v>
      </c>
    </row>
  </sheetData>
  <printOptions horizontalCentered="1"/>
  <pageMargins left="0.6" right="0.5" top="0.5" bottom="0.5" header="0.25" footer="0.25"/>
  <pageSetup fitToHeight="0" fitToWidth="1" horizontalDpi="1200" verticalDpi="1200" orientation="portrait" scale="96" r:id="rId1"/>
  <headerFooter alignWithMargins="0">
    <oddFooter>&amp;L&amp;"Helvetica,Bold Italic"&amp;9&amp;F; &amp;A&amp;C&amp;"Helvetica,Bold"&amp;9Page &amp;P of &amp;N&amp;R&amp;"Helvetica,Bold Italic"&amp;9&amp;D</oddFooter>
  </headerFooter>
</worksheet>
</file>

<file path=xl/worksheets/sheet6.xml><?xml version="1.0" encoding="utf-8"?>
<worksheet xmlns="http://schemas.openxmlformats.org/spreadsheetml/2006/main" xmlns:r="http://schemas.openxmlformats.org/officeDocument/2006/relationships">
  <dimension ref="A1:G168"/>
  <sheetViews>
    <sheetView workbookViewId="0" topLeftCell="A167">
      <selection activeCell="A167" sqref="A159:A167"/>
    </sheetView>
  </sheetViews>
  <sheetFormatPr defaultColWidth="9.140625" defaultRowHeight="12.75"/>
  <cols>
    <col min="1" max="1" width="45.421875" style="354" customWidth="1"/>
    <col min="2" max="16384" width="8.8515625" style="0" customWidth="1"/>
  </cols>
  <sheetData>
    <row r="1" spans="2:5" ht="12.75">
      <c r="B1" t="s">
        <v>463</v>
      </c>
      <c r="C1" t="s">
        <v>464</v>
      </c>
      <c r="D1" t="s">
        <v>465</v>
      </c>
      <c r="E1" t="s">
        <v>426</v>
      </c>
    </row>
    <row r="2" ht="12.75">
      <c r="A2" s="355"/>
    </row>
    <row r="3" ht="12.75">
      <c r="A3" s="356" t="s">
        <v>466</v>
      </c>
    </row>
    <row r="4" ht="12.75">
      <c r="A4" s="355" t="s">
        <v>3</v>
      </c>
    </row>
    <row r="5" spans="1:3" ht="25.5">
      <c r="A5" s="355" t="s">
        <v>467</v>
      </c>
      <c r="B5">
        <v>2</v>
      </c>
      <c r="C5" t="s">
        <v>468</v>
      </c>
    </row>
    <row r="6" ht="38.25">
      <c r="A6" s="355" t="s">
        <v>469</v>
      </c>
    </row>
    <row r="7" ht="12.75">
      <c r="A7" s="355"/>
    </row>
    <row r="8" ht="12.75">
      <c r="A8" s="355" t="s">
        <v>4</v>
      </c>
    </row>
    <row r="9" ht="12.75">
      <c r="A9" s="355" t="s">
        <v>5</v>
      </c>
    </row>
    <row r="10" spans="1:3" ht="25.5">
      <c r="A10" s="355" t="s">
        <v>6</v>
      </c>
      <c r="B10">
        <v>1600</v>
      </c>
      <c r="C10" t="s">
        <v>470</v>
      </c>
    </row>
    <row r="11" spans="1:3" ht="12.75">
      <c r="A11" s="355" t="s">
        <v>7</v>
      </c>
      <c r="B11">
        <v>50</v>
      </c>
      <c r="C11" t="s">
        <v>471</v>
      </c>
    </row>
    <row r="12" spans="1:3" ht="12.75">
      <c r="A12" s="355" t="s">
        <v>8</v>
      </c>
      <c r="B12">
        <v>20</v>
      </c>
      <c r="C12" t="s">
        <v>471</v>
      </c>
    </row>
    <row r="13" ht="12.75">
      <c r="A13" s="355"/>
    </row>
    <row r="14" ht="12.75">
      <c r="A14" s="355" t="s">
        <v>9</v>
      </c>
    </row>
    <row r="15" spans="1:3" ht="12.75">
      <c r="A15" s="355" t="s">
        <v>10</v>
      </c>
      <c r="B15">
        <v>600</v>
      </c>
      <c r="C15" t="s">
        <v>470</v>
      </c>
    </row>
    <row r="16" spans="1:2" ht="12.75">
      <c r="A16" s="355" t="s">
        <v>11</v>
      </c>
      <c r="B16" t="s">
        <v>472</v>
      </c>
    </row>
    <row r="17" ht="12.75">
      <c r="A17" s="355"/>
    </row>
    <row r="18" ht="12.75">
      <c r="A18" s="355" t="s">
        <v>12</v>
      </c>
    </row>
    <row r="19" spans="1:3" ht="12.75">
      <c r="A19" s="355" t="s">
        <v>13</v>
      </c>
      <c r="B19">
        <v>5</v>
      </c>
      <c r="C19" t="s">
        <v>470</v>
      </c>
    </row>
    <row r="20" ht="12.75">
      <c r="A20" s="355"/>
    </row>
    <row r="21" ht="12.75">
      <c r="A21" s="355" t="s">
        <v>50</v>
      </c>
    </row>
    <row r="22" spans="1:3" ht="25.5">
      <c r="A22" s="355" t="s">
        <v>51</v>
      </c>
      <c r="B22">
        <v>20</v>
      </c>
      <c r="C22" t="s">
        <v>473</v>
      </c>
    </row>
    <row r="23" spans="1:3" ht="12.75" customHeight="1">
      <c r="A23" s="355" t="s">
        <v>52</v>
      </c>
      <c r="B23">
        <v>8</v>
      </c>
      <c r="C23" t="s">
        <v>473</v>
      </c>
    </row>
    <row r="24" ht="12.75">
      <c r="A24" s="355"/>
    </row>
    <row r="25" ht="12.75">
      <c r="A25" s="355" t="s">
        <v>53</v>
      </c>
    </row>
    <row r="26" spans="1:3" ht="25.5">
      <c r="A26" s="355" t="s">
        <v>54</v>
      </c>
      <c r="B26">
        <v>1</v>
      </c>
      <c r="C26" t="s">
        <v>473</v>
      </c>
    </row>
    <row r="27" ht="12.75">
      <c r="A27" s="355"/>
    </row>
    <row r="28" ht="12.75">
      <c r="A28" s="355" t="s">
        <v>55</v>
      </c>
    </row>
    <row r="29" spans="1:3" ht="38.25">
      <c r="A29" s="355" t="s">
        <v>474</v>
      </c>
      <c r="B29">
        <v>28</v>
      </c>
      <c r="C29" t="s">
        <v>473</v>
      </c>
    </row>
    <row r="30" spans="1:3" ht="12.75">
      <c r="A30" s="355" t="s">
        <v>243</v>
      </c>
      <c r="B30">
        <v>14</v>
      </c>
      <c r="C30" t="s">
        <v>473</v>
      </c>
    </row>
    <row r="31" spans="1:3" ht="12.75">
      <c r="A31" s="355" t="s">
        <v>475</v>
      </c>
      <c r="B31">
        <v>1</v>
      </c>
      <c r="C31" t="s">
        <v>473</v>
      </c>
    </row>
    <row r="32" spans="1:3" ht="25.5">
      <c r="A32" s="355" t="s">
        <v>244</v>
      </c>
      <c r="B32">
        <v>20</v>
      </c>
      <c r="C32" t="s">
        <v>473</v>
      </c>
    </row>
    <row r="33" spans="1:3" ht="25.5">
      <c r="A33" s="355" t="s">
        <v>245</v>
      </c>
      <c r="B33">
        <v>1</v>
      </c>
      <c r="C33" t="s">
        <v>476</v>
      </c>
    </row>
    <row r="34" spans="1:3" ht="140.25">
      <c r="A34" s="355" t="s">
        <v>477</v>
      </c>
      <c r="B34">
        <v>1</v>
      </c>
      <c r="C34" t="s">
        <v>476</v>
      </c>
    </row>
    <row r="35" ht="12.75">
      <c r="A35" s="355"/>
    </row>
    <row r="36" ht="12.75">
      <c r="A36" s="355" t="s">
        <v>246</v>
      </c>
    </row>
    <row r="37" spans="1:3" ht="38.25">
      <c r="A37" s="355" t="s">
        <v>478</v>
      </c>
      <c r="B37">
        <v>1</v>
      </c>
      <c r="C37" t="s">
        <v>476</v>
      </c>
    </row>
    <row r="38" ht="12.75">
      <c r="A38" s="355" t="s">
        <v>247</v>
      </c>
    </row>
    <row r="39" ht="12.75">
      <c r="A39" s="355"/>
    </row>
    <row r="40" ht="12.75">
      <c r="A40" s="355"/>
    </row>
    <row r="41" ht="12.75">
      <c r="A41" s="356" t="s">
        <v>479</v>
      </c>
    </row>
    <row r="42" spans="1:3" ht="51">
      <c r="A42" s="355" t="s">
        <v>441</v>
      </c>
      <c r="B42">
        <v>1500</v>
      </c>
      <c r="C42" t="s">
        <v>470</v>
      </c>
    </row>
    <row r="43" ht="12.75">
      <c r="A43" s="355"/>
    </row>
    <row r="44" spans="1:3" ht="12.75">
      <c r="A44" s="355" t="s">
        <v>442</v>
      </c>
      <c r="B44">
        <v>100</v>
      </c>
      <c r="C44" t="s">
        <v>470</v>
      </c>
    </row>
    <row r="45" spans="1:3" ht="12.75">
      <c r="A45" s="368" t="s">
        <v>443</v>
      </c>
      <c r="B45">
        <v>10</v>
      </c>
      <c r="C45" t="s">
        <v>473</v>
      </c>
    </row>
    <row r="46" ht="12.75">
      <c r="A46" s="355"/>
    </row>
    <row r="47" ht="12.75">
      <c r="A47" s="355"/>
    </row>
    <row r="48" ht="12.75">
      <c r="A48" s="356" t="s">
        <v>139</v>
      </c>
    </row>
    <row r="49" ht="12.75">
      <c r="A49" s="355"/>
    </row>
    <row r="50" spans="1:2" ht="25.5">
      <c r="A50" s="355" t="s">
        <v>444</v>
      </c>
      <c r="B50">
        <v>2000</v>
      </c>
    </row>
    <row r="51" ht="25.5">
      <c r="A51" s="355" t="s">
        <v>445</v>
      </c>
    </row>
    <row r="52" ht="51">
      <c r="A52" s="369" t="s">
        <v>446</v>
      </c>
    </row>
    <row r="53" spans="1:3" ht="12.75">
      <c r="A53" s="369" t="s">
        <v>447</v>
      </c>
      <c r="B53">
        <v>100</v>
      </c>
      <c r="C53" t="s">
        <v>470</v>
      </c>
    </row>
    <row r="54" spans="1:3" ht="89.25">
      <c r="A54" s="369" t="s">
        <v>448</v>
      </c>
      <c r="B54">
        <v>1</v>
      </c>
      <c r="C54" t="s">
        <v>476</v>
      </c>
    </row>
    <row r="55" spans="1:4" ht="12.75">
      <c r="A55" s="369" t="s">
        <v>449</v>
      </c>
      <c r="B55" s="357">
        <v>100</v>
      </c>
      <c r="C55" s="357" t="s">
        <v>471</v>
      </c>
      <c r="D55" s="358"/>
    </row>
    <row r="56" spans="1:4" ht="12.75">
      <c r="A56" s="369" t="s">
        <v>450</v>
      </c>
      <c r="B56" s="359">
        <v>4</v>
      </c>
      <c r="C56" s="359" t="s">
        <v>473</v>
      </c>
      <c r="D56" s="360"/>
    </row>
    <row r="57" ht="12.75">
      <c r="A57" s="355"/>
    </row>
    <row r="58" ht="12.75">
      <c r="A58" s="356" t="s">
        <v>451</v>
      </c>
    </row>
    <row r="59" spans="1:2" ht="38.25">
      <c r="A59" s="355" t="s">
        <v>452</v>
      </c>
      <c r="B59" t="s">
        <v>453</v>
      </c>
    </row>
    <row r="60" ht="12.75">
      <c r="A60" s="355"/>
    </row>
    <row r="61" ht="12.75">
      <c r="A61" s="355"/>
    </row>
    <row r="62" spans="1:3" ht="51">
      <c r="A62" s="355" t="s">
        <v>454</v>
      </c>
      <c r="B62">
        <v>1</v>
      </c>
      <c r="C62" t="s">
        <v>476</v>
      </c>
    </row>
    <row r="63" ht="12.75">
      <c r="A63" s="355"/>
    </row>
    <row r="64" spans="1:7" ht="12.75">
      <c r="A64" s="361" t="s">
        <v>455</v>
      </c>
      <c r="B64" s="357"/>
      <c r="C64" s="357"/>
      <c r="D64" s="357"/>
      <c r="E64" s="101"/>
      <c r="F64" s="102"/>
      <c r="G64" s="103"/>
    </row>
    <row r="65" spans="1:7" ht="89.25">
      <c r="A65" s="369" t="s">
        <v>87</v>
      </c>
      <c r="D65" s="360"/>
      <c r="E65" s="101"/>
      <c r="F65" s="102"/>
      <c r="G65" s="103"/>
    </row>
    <row r="66" spans="1:7" ht="191.25">
      <c r="A66" s="369" t="s">
        <v>76</v>
      </c>
      <c r="B66" s="357">
        <v>1</v>
      </c>
      <c r="C66" s="357" t="s">
        <v>476</v>
      </c>
      <c r="D66" s="357"/>
      <c r="E66" s="101"/>
      <c r="F66" s="102"/>
      <c r="G66" s="103"/>
    </row>
    <row r="67" ht="12.75">
      <c r="A67" s="355"/>
    </row>
    <row r="68" ht="12.75">
      <c r="A68" s="356" t="s">
        <v>77</v>
      </c>
    </row>
    <row r="69" ht="25.5">
      <c r="A69" s="361" t="s">
        <v>78</v>
      </c>
    </row>
    <row r="70" spans="1:7" ht="76.5">
      <c r="A70" s="370" t="s">
        <v>79</v>
      </c>
      <c r="B70" s="100">
        <v>200</v>
      </c>
      <c r="C70" s="101" t="s">
        <v>123</v>
      </c>
      <c r="D70" s="102">
        <f>(175+4*((155/4)+1.67*8*65))/B70+(2*300*2)/B70</f>
        <v>25.018</v>
      </c>
      <c r="E70" s="103">
        <f>B70*D70</f>
        <v>5003.6</v>
      </c>
      <c r="F70" s="102"/>
      <c r="G70" s="103"/>
    </row>
    <row r="71" spans="1:7" ht="25.5">
      <c r="A71" s="370" t="s">
        <v>80</v>
      </c>
      <c r="B71" s="100">
        <v>1</v>
      </c>
      <c r="C71" s="101" t="s">
        <v>476</v>
      </c>
      <c r="D71" s="102"/>
      <c r="E71" s="103">
        <v>12000</v>
      </c>
      <c r="F71" s="102"/>
      <c r="G71" s="103"/>
    </row>
    <row r="72" spans="1:7" ht="12.75">
      <c r="A72" s="363" t="s">
        <v>81</v>
      </c>
      <c r="B72" s="357"/>
      <c r="C72" s="357"/>
      <c r="D72" s="360"/>
      <c r="E72" s="101"/>
      <c r="F72" s="102"/>
      <c r="G72" s="103"/>
    </row>
    <row r="73" spans="1:7" ht="255">
      <c r="A73" s="369" t="s">
        <v>82</v>
      </c>
      <c r="B73" s="357">
        <v>1</v>
      </c>
      <c r="C73" s="357" t="s">
        <v>476</v>
      </c>
      <c r="D73" s="359"/>
      <c r="E73" s="101"/>
      <c r="F73" s="102"/>
      <c r="G73" s="103"/>
    </row>
    <row r="74" spans="1:4" ht="12.75">
      <c r="A74" s="369"/>
      <c r="B74" s="360"/>
      <c r="C74" s="360"/>
      <c r="D74" s="360"/>
    </row>
    <row r="75" spans="1:4" ht="12.75">
      <c r="A75" s="361" t="s">
        <v>83</v>
      </c>
      <c r="B75" s="360"/>
      <c r="C75" s="360"/>
      <c r="D75" s="360"/>
    </row>
    <row r="76" spans="1:4" ht="25.5">
      <c r="A76" s="361" t="s">
        <v>78</v>
      </c>
      <c r="B76" s="360"/>
      <c r="C76" s="360"/>
      <c r="D76" s="360"/>
    </row>
    <row r="77" spans="1:4" ht="38.25">
      <c r="A77" s="369" t="s">
        <v>84</v>
      </c>
      <c r="D77" s="357"/>
    </row>
    <row r="78" spans="1:4" ht="25.5">
      <c r="A78" s="369" t="s">
        <v>428</v>
      </c>
      <c r="B78" s="357">
        <v>1000</v>
      </c>
      <c r="C78" s="357" t="s">
        <v>470</v>
      </c>
      <c r="D78" s="360"/>
    </row>
    <row r="79" spans="1:3" ht="38.25">
      <c r="A79" s="369" t="s">
        <v>429</v>
      </c>
      <c r="B79" s="357">
        <v>575</v>
      </c>
      <c r="C79" s="357" t="s">
        <v>470</v>
      </c>
    </row>
    <row r="80" spans="1:3" ht="12.75">
      <c r="A80" s="369"/>
      <c r="B80" s="357"/>
      <c r="C80" s="357"/>
    </row>
    <row r="81" spans="1:7" ht="12.75">
      <c r="A81" s="361" t="s">
        <v>430</v>
      </c>
      <c r="B81" s="357"/>
      <c r="C81" s="357"/>
      <c r="D81" s="357"/>
      <c r="E81" s="101"/>
      <c r="F81" s="102"/>
      <c r="G81" s="103"/>
    </row>
    <row r="82" spans="1:7" ht="102">
      <c r="A82" s="369" t="s">
        <v>431</v>
      </c>
      <c r="B82" s="359">
        <v>1</v>
      </c>
      <c r="C82" s="359" t="s">
        <v>476</v>
      </c>
      <c r="D82" s="360"/>
      <c r="E82" s="101"/>
      <c r="F82" s="102"/>
      <c r="G82" s="103"/>
    </row>
    <row r="83" spans="1:7" ht="12.75">
      <c r="A83" s="369" t="s">
        <v>432</v>
      </c>
      <c r="B83" s="357"/>
      <c r="C83" s="357"/>
      <c r="D83" s="357"/>
      <c r="E83" s="101"/>
      <c r="F83" s="102"/>
      <c r="G83" s="103"/>
    </row>
    <row r="84" spans="1:7" ht="51">
      <c r="A84" s="369" t="s">
        <v>433</v>
      </c>
      <c r="B84" s="357">
        <v>1</v>
      </c>
      <c r="C84" s="357" t="s">
        <v>476</v>
      </c>
      <c r="D84" s="357"/>
      <c r="E84" s="101"/>
      <c r="F84" s="102"/>
      <c r="G84" s="103"/>
    </row>
    <row r="85" spans="1:7" ht="76.5">
      <c r="A85" s="369" t="s">
        <v>434</v>
      </c>
      <c r="B85" s="357">
        <v>1</v>
      </c>
      <c r="C85" s="357" t="s">
        <v>476</v>
      </c>
      <c r="D85" s="357"/>
      <c r="E85" s="101"/>
      <c r="F85" s="102"/>
      <c r="G85" s="103"/>
    </row>
    <row r="86" spans="1:7" ht="165.75">
      <c r="A86" s="369" t="s">
        <v>435</v>
      </c>
      <c r="B86" s="357">
        <v>1</v>
      </c>
      <c r="C86" s="357" t="s">
        <v>476</v>
      </c>
      <c r="D86" s="357"/>
      <c r="E86" s="101"/>
      <c r="F86" s="102"/>
      <c r="G86" s="103"/>
    </row>
    <row r="87" spans="1:7" ht="12.75">
      <c r="A87" s="370"/>
      <c r="B87" s="362"/>
      <c r="C87" s="362"/>
      <c r="D87" s="100"/>
      <c r="E87" s="101"/>
      <c r="F87" s="102"/>
      <c r="G87" s="103"/>
    </row>
    <row r="88" ht="12.75">
      <c r="A88" s="356" t="s">
        <v>436</v>
      </c>
    </row>
    <row r="89" ht="12.75">
      <c r="A89" s="361" t="s">
        <v>437</v>
      </c>
    </row>
    <row r="90" spans="1:3" ht="25.5">
      <c r="A90" s="355" t="s">
        <v>70</v>
      </c>
      <c r="B90">
        <v>50</v>
      </c>
      <c r="C90" t="s">
        <v>470</v>
      </c>
    </row>
    <row r="91" spans="1:3" ht="25.5">
      <c r="A91" s="355" t="s">
        <v>71</v>
      </c>
      <c r="B91">
        <v>10</v>
      </c>
      <c r="C91" t="s">
        <v>470</v>
      </c>
    </row>
    <row r="92" spans="1:7" ht="12.75">
      <c r="A92" s="369"/>
      <c r="B92" s="357"/>
      <c r="C92" s="357"/>
      <c r="D92" s="357"/>
      <c r="E92" s="101"/>
      <c r="F92" s="102"/>
      <c r="G92" s="103"/>
    </row>
    <row r="93" spans="1:3" ht="12.75">
      <c r="A93" s="361" t="s">
        <v>72</v>
      </c>
      <c r="B93" s="357"/>
      <c r="C93" s="357"/>
    </row>
    <row r="94" spans="1:3" ht="25.5">
      <c r="A94" s="361" t="s">
        <v>78</v>
      </c>
      <c r="B94" s="357"/>
      <c r="C94" s="357"/>
    </row>
    <row r="95" spans="1:5" ht="51">
      <c r="A95" s="369" t="s">
        <v>39</v>
      </c>
      <c r="B95" s="100">
        <f>20-10</f>
        <v>10</v>
      </c>
      <c r="C95" s="101" t="s">
        <v>123</v>
      </c>
      <c r="D95" s="102">
        <f>5500/B95</f>
        <v>550</v>
      </c>
      <c r="E95" s="103">
        <f>B95*D95</f>
        <v>5500</v>
      </c>
    </row>
    <row r="96" spans="1:5" ht="51">
      <c r="A96" s="369" t="s">
        <v>40</v>
      </c>
      <c r="B96" s="100">
        <v>40</v>
      </c>
      <c r="C96" s="101" t="s">
        <v>123</v>
      </c>
      <c r="D96" s="102">
        <f>7000/B96</f>
        <v>175</v>
      </c>
      <c r="E96" s="103">
        <f>B96*D96</f>
        <v>7000</v>
      </c>
    </row>
    <row r="97" spans="1:5" ht="33" customHeight="1">
      <c r="A97" s="371" t="s">
        <v>251</v>
      </c>
      <c r="B97" s="100">
        <v>20</v>
      </c>
      <c r="C97" s="101" t="s">
        <v>123</v>
      </c>
      <c r="D97" s="102">
        <f>((65+0.67*((155/3)+1.67*8*65))/B97)*2.5</f>
        <v>85.18058333333332</v>
      </c>
      <c r="E97" s="103">
        <f>B97*D97</f>
        <v>1703.6116666666662</v>
      </c>
    </row>
    <row r="98" spans="1:5" ht="12.75">
      <c r="A98" s="371" t="s">
        <v>61</v>
      </c>
      <c r="B98" s="100">
        <v>20</v>
      </c>
      <c r="C98" s="101" t="s">
        <v>123</v>
      </c>
      <c r="D98" s="102">
        <v>4</v>
      </c>
      <c r="E98" s="103">
        <f>B98*D98</f>
        <v>80</v>
      </c>
    </row>
    <row r="99" spans="1:3" ht="12.75">
      <c r="A99" s="369"/>
      <c r="B99" s="357"/>
      <c r="C99" s="357"/>
    </row>
    <row r="100" spans="1:3" ht="12.75">
      <c r="A100" s="361" t="s">
        <v>73</v>
      </c>
      <c r="B100" s="357"/>
      <c r="C100" s="357"/>
    </row>
    <row r="101" spans="1:3" ht="25.5">
      <c r="A101" s="361" t="s">
        <v>78</v>
      </c>
      <c r="B101" s="357"/>
      <c r="C101" s="357"/>
    </row>
    <row r="102" spans="1:5" ht="38.25">
      <c r="A102" s="369" t="s">
        <v>74</v>
      </c>
      <c r="B102" s="100">
        <v>20</v>
      </c>
      <c r="C102" s="101" t="s">
        <v>123</v>
      </c>
      <c r="D102" s="102" t="e">
        <f>(175+3*((155/3)+2*8*65))/B$217</f>
        <v>#DIV/0!</v>
      </c>
      <c r="E102" s="103" t="e">
        <f>B102*D102</f>
        <v>#DIV/0!</v>
      </c>
    </row>
    <row r="103" spans="1:5" ht="38.25">
      <c r="A103" s="369" t="s">
        <v>21</v>
      </c>
      <c r="B103" s="100">
        <v>20</v>
      </c>
      <c r="C103" s="101" t="s">
        <v>123</v>
      </c>
      <c r="D103" s="102">
        <f>((1*300*2)/B103)-((1*300*2)/B103)+120</f>
        <v>120</v>
      </c>
      <c r="E103" s="103">
        <f>B103*D103</f>
        <v>2400</v>
      </c>
    </row>
    <row r="104" spans="1:5" ht="12.75">
      <c r="A104" s="369" t="s">
        <v>25</v>
      </c>
      <c r="B104" s="100">
        <v>10</v>
      </c>
      <c r="C104" s="101" t="s">
        <v>123</v>
      </c>
      <c r="D104" s="102">
        <v>200</v>
      </c>
      <c r="E104" s="103">
        <f>B104*D104</f>
        <v>2000</v>
      </c>
    </row>
    <row r="105" spans="1:3" ht="12.75">
      <c r="A105" s="369"/>
      <c r="B105" s="357"/>
      <c r="C105" s="357"/>
    </row>
    <row r="106" ht="12.75">
      <c r="A106" s="355"/>
    </row>
    <row r="107" spans="1:7" ht="12.75">
      <c r="A107" s="372" t="s">
        <v>75</v>
      </c>
      <c r="D107" s="357"/>
      <c r="E107" s="101"/>
      <c r="F107" s="102"/>
      <c r="G107" s="103"/>
    </row>
    <row r="108" spans="1:7" ht="12.75">
      <c r="A108" s="369"/>
      <c r="D108" s="357"/>
      <c r="E108" s="101"/>
      <c r="F108" s="102"/>
      <c r="G108" s="103"/>
    </row>
    <row r="109" spans="1:7" ht="25.5">
      <c r="A109" s="369" t="s">
        <v>220</v>
      </c>
      <c r="B109" s="357">
        <v>800</v>
      </c>
      <c r="C109" s="357" t="s">
        <v>470</v>
      </c>
      <c r="D109" s="357"/>
      <c r="E109" s="101"/>
      <c r="F109" s="102"/>
      <c r="G109" s="103"/>
    </row>
    <row r="110" spans="1:7" ht="38.25">
      <c r="A110" s="369" t="s">
        <v>221</v>
      </c>
      <c r="B110" s="357">
        <v>5</v>
      </c>
      <c r="C110" s="357" t="s">
        <v>473</v>
      </c>
      <c r="D110" s="357"/>
      <c r="E110" s="101"/>
      <c r="F110" s="102"/>
      <c r="G110" s="103"/>
    </row>
    <row r="111" spans="1:7" ht="12.75">
      <c r="A111" s="369" t="s">
        <v>222</v>
      </c>
      <c r="B111" s="357">
        <v>1056</v>
      </c>
      <c r="C111" s="357" t="s">
        <v>470</v>
      </c>
      <c r="D111" s="357"/>
      <c r="E111" s="101"/>
      <c r="F111" s="102"/>
      <c r="G111" s="103"/>
    </row>
    <row r="112" spans="1:7" ht="12.75">
      <c r="A112" s="369" t="s">
        <v>223</v>
      </c>
      <c r="B112" s="357">
        <v>800</v>
      </c>
      <c r="C112" s="357"/>
      <c r="D112" s="360"/>
      <c r="E112" s="101"/>
      <c r="F112" s="102"/>
      <c r="G112" s="103"/>
    </row>
    <row r="113" spans="1:7" ht="25.5">
      <c r="A113" s="369" t="s">
        <v>224</v>
      </c>
      <c r="B113" s="357">
        <v>50</v>
      </c>
      <c r="C113" s="357" t="s">
        <v>225</v>
      </c>
      <c r="D113" s="357"/>
      <c r="E113" s="101"/>
      <c r="F113" s="102"/>
      <c r="G113" s="103"/>
    </row>
    <row r="114" spans="1:7" ht="25.5">
      <c r="A114" s="369" t="s">
        <v>226</v>
      </c>
      <c r="B114" s="359">
        <v>50</v>
      </c>
      <c r="C114" s="359" t="s">
        <v>471</v>
      </c>
      <c r="D114" s="357"/>
      <c r="E114" s="101"/>
      <c r="F114" s="102"/>
      <c r="G114" s="103"/>
    </row>
    <row r="115" spans="1:7" ht="12.75">
      <c r="A115" s="369"/>
      <c r="B115" s="357"/>
      <c r="C115" s="357"/>
      <c r="D115" s="357"/>
      <c r="E115" s="101"/>
      <c r="F115" s="102"/>
      <c r="G115" s="103"/>
    </row>
    <row r="116" spans="1:4" ht="12.75">
      <c r="A116" s="361" t="s">
        <v>227</v>
      </c>
      <c r="B116" s="360"/>
      <c r="C116" s="360"/>
      <c r="D116" s="360"/>
    </row>
    <row r="117" spans="1:4" ht="102">
      <c r="A117" s="369" t="s">
        <v>228</v>
      </c>
      <c r="B117" s="357">
        <v>1</v>
      </c>
      <c r="C117" s="357" t="s">
        <v>476</v>
      </c>
      <c r="D117" s="360"/>
    </row>
    <row r="118" spans="1:4" ht="12.75">
      <c r="A118" s="369"/>
      <c r="B118" s="357"/>
      <c r="C118" s="357"/>
      <c r="D118" s="357"/>
    </row>
    <row r="119" spans="1:5" ht="12.75">
      <c r="A119" s="369"/>
      <c r="B119" s="100"/>
      <c r="C119" s="101"/>
      <c r="D119" s="102"/>
      <c r="E119" s="103"/>
    </row>
    <row r="120" spans="1:5" ht="12.75">
      <c r="A120" s="361" t="s">
        <v>229</v>
      </c>
      <c r="B120" s="100"/>
      <c r="C120" s="101"/>
      <c r="D120" s="102"/>
      <c r="E120" s="103"/>
    </row>
    <row r="121" spans="1:5" ht="25.5">
      <c r="A121" s="361" t="s">
        <v>78</v>
      </c>
      <c r="B121" s="100"/>
      <c r="C121" s="101"/>
      <c r="D121" s="102"/>
      <c r="E121" s="103"/>
    </row>
    <row r="122" spans="1:5" ht="70.5" customHeight="1">
      <c r="A122" s="369" t="s">
        <v>230</v>
      </c>
      <c r="B122" s="100">
        <v>3</v>
      </c>
      <c r="C122" s="101" t="s">
        <v>325</v>
      </c>
      <c r="D122" s="102">
        <f>3000/B122</f>
        <v>1000</v>
      </c>
      <c r="E122" s="103">
        <f>B122*D122</f>
        <v>3000</v>
      </c>
    </row>
    <row r="123" spans="1:5" ht="38.25">
      <c r="A123" s="369" t="s">
        <v>231</v>
      </c>
      <c r="B123" s="100">
        <v>30</v>
      </c>
      <c r="C123" s="101" t="s">
        <v>123</v>
      </c>
      <c r="D123" s="102">
        <f>(1*300*3)/B123</f>
        <v>30</v>
      </c>
      <c r="E123" s="103">
        <f>B123*D123</f>
        <v>900</v>
      </c>
    </row>
    <row r="124" spans="1:5" ht="114.75">
      <c r="A124" s="369" t="s">
        <v>196</v>
      </c>
      <c r="B124" s="100">
        <v>1</v>
      </c>
      <c r="C124" s="101" t="s">
        <v>486</v>
      </c>
      <c r="D124" s="102">
        <v>25000</v>
      </c>
      <c r="E124" s="103">
        <f>B124*D124</f>
        <v>25000</v>
      </c>
    </row>
    <row r="125" spans="1:3" ht="12.75">
      <c r="A125" s="369"/>
      <c r="B125" s="357"/>
      <c r="C125" s="357"/>
    </row>
    <row r="126" spans="1:3" ht="12.75">
      <c r="A126" s="361" t="s">
        <v>197</v>
      </c>
      <c r="B126" s="357"/>
      <c r="C126" s="357"/>
    </row>
    <row r="127" spans="1:3" ht="25.5">
      <c r="A127" s="361" t="s">
        <v>78</v>
      </c>
      <c r="B127" s="357"/>
      <c r="C127" s="357"/>
    </row>
    <row r="128" spans="1:5" ht="38.25">
      <c r="A128" s="369" t="s">
        <v>198</v>
      </c>
      <c r="B128" s="100">
        <v>30</v>
      </c>
      <c r="C128" s="101" t="s">
        <v>325</v>
      </c>
      <c r="D128" s="102">
        <f>6*1000/B128</f>
        <v>200</v>
      </c>
      <c r="E128" s="103">
        <f aca="true" t="shared" si="0" ref="E128:E133">B128*D128</f>
        <v>6000</v>
      </c>
    </row>
    <row r="129" spans="1:5" ht="12.75">
      <c r="A129" s="369" t="s">
        <v>199</v>
      </c>
      <c r="B129" s="100">
        <v>30</v>
      </c>
      <c r="C129" s="101" t="s">
        <v>123</v>
      </c>
      <c r="D129" s="102">
        <f>250/B129</f>
        <v>8.333333333333334</v>
      </c>
      <c r="E129" s="103">
        <f t="shared" si="0"/>
        <v>250.00000000000003</v>
      </c>
    </row>
    <row r="130" spans="1:5" ht="25.5">
      <c r="A130" s="369" t="s">
        <v>200</v>
      </c>
      <c r="B130" s="100">
        <v>150</v>
      </c>
      <c r="C130" s="101" t="s">
        <v>123</v>
      </c>
      <c r="D130" s="102">
        <f>D104</f>
        <v>200</v>
      </c>
      <c r="E130" s="103">
        <f t="shared" si="0"/>
        <v>30000</v>
      </c>
    </row>
    <row r="131" spans="1:5" ht="12.75">
      <c r="A131" s="369" t="s">
        <v>38</v>
      </c>
      <c r="B131" s="100">
        <v>150</v>
      </c>
      <c r="C131" s="101" t="s">
        <v>123</v>
      </c>
      <c r="D131" s="102">
        <f>D129</f>
        <v>8.333333333333334</v>
      </c>
      <c r="E131" s="103">
        <f t="shared" si="0"/>
        <v>1250</v>
      </c>
    </row>
    <row r="132" spans="1:5" ht="38.25">
      <c r="A132" s="369" t="s">
        <v>201</v>
      </c>
      <c r="B132" s="100">
        <v>25</v>
      </c>
      <c r="C132" s="101" t="s">
        <v>123</v>
      </c>
      <c r="D132" s="102">
        <v>15</v>
      </c>
      <c r="E132" s="103">
        <f t="shared" si="0"/>
        <v>375</v>
      </c>
    </row>
    <row r="133" spans="1:5" ht="12.75">
      <c r="A133" s="369" t="s">
        <v>202</v>
      </c>
      <c r="B133" s="100">
        <v>375</v>
      </c>
      <c r="C133" s="101" t="s">
        <v>123</v>
      </c>
      <c r="D133" s="102">
        <f>(40*(300/200)+1*((55)+1*8*65))/300</f>
        <v>2.1166666666666667</v>
      </c>
      <c r="E133" s="103">
        <f t="shared" si="0"/>
        <v>793.75</v>
      </c>
    </row>
    <row r="134" spans="1:5" ht="12.75">
      <c r="A134" s="369"/>
      <c r="B134" s="100"/>
      <c r="C134" s="101"/>
      <c r="D134" s="102"/>
      <c r="E134" s="103"/>
    </row>
    <row r="135" spans="1:5" ht="12.75">
      <c r="A135" s="369"/>
      <c r="B135" s="100"/>
      <c r="C135" s="101"/>
      <c r="D135" s="102"/>
      <c r="E135" s="103"/>
    </row>
    <row r="136" spans="1:5" ht="12.75">
      <c r="A136" s="369"/>
      <c r="B136" s="100"/>
      <c r="C136" s="101"/>
      <c r="D136" s="102"/>
      <c r="E136" s="103"/>
    </row>
    <row r="137" spans="1:3" ht="12.75">
      <c r="A137" s="369"/>
      <c r="B137" s="357"/>
      <c r="C137" s="357"/>
    </row>
    <row r="138" spans="1:3" ht="25.5">
      <c r="A138" s="361" t="s">
        <v>203</v>
      </c>
      <c r="B138" s="357"/>
      <c r="C138" s="357"/>
    </row>
    <row r="139" spans="1:4" ht="12.75">
      <c r="A139" s="361" t="s">
        <v>142</v>
      </c>
      <c r="B139" s="357"/>
      <c r="C139" s="357"/>
      <c r="D139" s="357"/>
    </row>
    <row r="140" spans="1:4" ht="12.75">
      <c r="A140" s="369" t="s">
        <v>204</v>
      </c>
      <c r="B140" s="359">
        <v>1</v>
      </c>
      <c r="C140" s="359" t="s">
        <v>476</v>
      </c>
      <c r="D140" s="359">
        <v>8000</v>
      </c>
    </row>
    <row r="141" spans="1:4" ht="12.75">
      <c r="A141" s="369"/>
      <c r="B141" s="357"/>
      <c r="C141" s="357"/>
      <c r="D141" s="357"/>
    </row>
    <row r="142" spans="1:4" ht="12.75">
      <c r="A142" s="361" t="s">
        <v>205</v>
      </c>
      <c r="B142" s="357"/>
      <c r="C142" s="357"/>
      <c r="D142" s="357"/>
    </row>
    <row r="143" spans="1:4" ht="25.5">
      <c r="A143" s="369" t="s">
        <v>206</v>
      </c>
      <c r="B143" s="360"/>
      <c r="C143" s="360"/>
      <c r="D143" s="360"/>
    </row>
    <row r="144" spans="1:4" ht="25.5">
      <c r="A144" s="369" t="s">
        <v>207</v>
      </c>
      <c r="B144" s="359" t="s">
        <v>208</v>
      </c>
      <c r="C144" s="359"/>
      <c r="D144" s="364"/>
    </row>
    <row r="145" spans="1:3" ht="63.75">
      <c r="A145" s="369" t="s">
        <v>209</v>
      </c>
      <c r="B145">
        <v>200</v>
      </c>
      <c r="C145" t="s">
        <v>470</v>
      </c>
    </row>
    <row r="146" ht="12.75">
      <c r="A146" s="369"/>
    </row>
    <row r="147" spans="1:4" ht="12.75">
      <c r="A147" s="361" t="s">
        <v>210</v>
      </c>
      <c r="B147" s="365"/>
      <c r="C147" s="365"/>
      <c r="D147" s="365"/>
    </row>
    <row r="148" spans="1:4" ht="38.25">
      <c r="A148" s="369" t="s">
        <v>211</v>
      </c>
      <c r="B148" s="366">
        <v>1</v>
      </c>
      <c r="C148" s="366" t="s">
        <v>476</v>
      </c>
      <c r="D148" s="367">
        <v>480000</v>
      </c>
    </row>
    <row r="149" spans="1:4" ht="12.75">
      <c r="A149" s="369"/>
      <c r="B149" s="366"/>
      <c r="C149" s="366"/>
      <c r="D149" s="366"/>
    </row>
    <row r="150" spans="1:4" ht="12.75">
      <c r="A150" s="361" t="s">
        <v>212</v>
      </c>
      <c r="B150" s="365"/>
      <c r="C150" s="365"/>
      <c r="D150" s="365"/>
    </row>
    <row r="151" spans="1:4" ht="38.25">
      <c r="A151" s="369" t="s">
        <v>213</v>
      </c>
      <c r="B151" s="366">
        <v>1</v>
      </c>
      <c r="C151" s="366" t="s">
        <v>476</v>
      </c>
      <c r="D151" s="367">
        <v>259000</v>
      </c>
    </row>
    <row r="152" spans="1:4" ht="12.75">
      <c r="A152" s="369"/>
      <c r="B152" s="359"/>
      <c r="C152" s="359"/>
      <c r="D152" s="359"/>
    </row>
    <row r="153" ht="12.75">
      <c r="A153" s="361" t="s">
        <v>214</v>
      </c>
    </row>
    <row r="154" spans="1:4" ht="51">
      <c r="A154" s="369" t="s">
        <v>215</v>
      </c>
      <c r="B154" s="359">
        <v>1</v>
      </c>
      <c r="C154" s="359" t="s">
        <v>476</v>
      </c>
      <c r="D154" s="364">
        <v>840000</v>
      </c>
    </row>
    <row r="155" ht="12.75">
      <c r="A155" s="369"/>
    </row>
    <row r="156" spans="1:4" ht="12.75">
      <c r="A156" s="361" t="s">
        <v>216</v>
      </c>
      <c r="B156" s="359">
        <v>1</v>
      </c>
      <c r="C156" s="359" t="s">
        <v>476</v>
      </c>
      <c r="D156" s="364">
        <v>780000</v>
      </c>
    </row>
    <row r="157" spans="1:4" ht="12.75">
      <c r="A157" s="361" t="s">
        <v>217</v>
      </c>
      <c r="B157" s="359">
        <v>1</v>
      </c>
      <c r="C157" s="359" t="s">
        <v>476</v>
      </c>
      <c r="D157" s="364">
        <v>200000</v>
      </c>
    </row>
    <row r="158" spans="1:4" ht="12.75">
      <c r="A158" s="361" t="s">
        <v>218</v>
      </c>
      <c r="B158" s="359">
        <v>1</v>
      </c>
      <c r="C158" s="359" t="s">
        <v>476</v>
      </c>
      <c r="D158" s="364">
        <v>560000</v>
      </c>
    </row>
    <row r="159" spans="1:4" ht="12.75">
      <c r="A159" s="361" t="s">
        <v>219</v>
      </c>
      <c r="B159" s="359">
        <v>1</v>
      </c>
      <c r="C159" s="359" t="s">
        <v>476</v>
      </c>
      <c r="D159" s="364">
        <v>100000</v>
      </c>
    </row>
    <row r="160" spans="1:4" ht="38.25">
      <c r="A160" s="369" t="s">
        <v>403</v>
      </c>
      <c r="B160" s="362"/>
      <c r="C160" s="362"/>
      <c r="D160" s="100"/>
    </row>
    <row r="161" spans="1:4" ht="12.75">
      <c r="A161" s="370"/>
      <c r="B161" s="362"/>
      <c r="C161" s="362"/>
      <c r="D161" s="100"/>
    </row>
    <row r="162" spans="1:4" ht="12.75">
      <c r="A162" s="370"/>
      <c r="B162" s="362"/>
      <c r="C162" s="362"/>
      <c r="D162" s="100"/>
    </row>
    <row r="163" ht="12.75">
      <c r="A163" s="355" t="s">
        <v>404</v>
      </c>
    </row>
    <row r="164" ht="12.75">
      <c r="A164" s="355"/>
    </row>
    <row r="165" ht="38.25">
      <c r="A165" s="356" t="s">
        <v>405</v>
      </c>
    </row>
    <row r="166" ht="114.75">
      <c r="A166" s="355" t="s">
        <v>406</v>
      </c>
    </row>
    <row r="167" ht="12.75">
      <c r="A167" s="355"/>
    </row>
    <row r="168" ht="127.5">
      <c r="A168" s="355" t="s">
        <v>407</v>
      </c>
    </row>
  </sheetData>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K315"/>
  <sheetViews>
    <sheetView workbookViewId="0" topLeftCell="A1">
      <selection activeCell="A1" sqref="A1"/>
    </sheetView>
  </sheetViews>
  <sheetFormatPr defaultColWidth="9.140625" defaultRowHeight="12.75" outlineLevelCol="1"/>
  <cols>
    <col min="1" max="1" width="15.28125" style="88" customWidth="1"/>
    <col min="2" max="2" width="17.421875" style="67" customWidth="1"/>
    <col min="3" max="3" width="24.8515625" style="67" customWidth="1"/>
    <col min="4" max="4" width="9.28125" style="67" hidden="1" customWidth="1" outlineLevel="1"/>
    <col min="5" max="5" width="0" style="89" hidden="1" customWidth="1" outlineLevel="1"/>
    <col min="6" max="6" width="10.00390625" style="67" hidden="1" customWidth="1" outlineLevel="1"/>
    <col min="7" max="7" width="12.28125" style="91" customWidth="1" collapsed="1"/>
    <col min="8" max="8" width="9.28125" style="67" hidden="1" customWidth="1" outlineLevel="1"/>
    <col min="9" max="9" width="0" style="89" hidden="1" customWidth="1" outlineLevel="1"/>
    <col min="10" max="10" width="10.00390625" style="67" hidden="1" customWidth="1" outlineLevel="1"/>
    <col min="11" max="11" width="12.28125" style="91" customWidth="1" collapsed="1"/>
    <col min="12" max="16384" width="9.140625" style="67" customWidth="1"/>
  </cols>
  <sheetData>
    <row r="1" spans="1:11" ht="12.75">
      <c r="A1" s="316" t="s">
        <v>186</v>
      </c>
      <c r="B1" s="317">
        <f>SGMS_Number</f>
        <v>21868</v>
      </c>
      <c r="C1" s="318"/>
      <c r="D1" s="319"/>
      <c r="E1" s="320"/>
      <c r="F1" s="321" t="s">
        <v>187</v>
      </c>
      <c r="G1" s="322">
        <f>Report_Date</f>
        <v>37951</v>
      </c>
      <c r="H1" s="319"/>
      <c r="I1" s="320"/>
      <c r="J1" s="321" t="s">
        <v>187</v>
      </c>
      <c r="K1" s="322">
        <f>Report_Date</f>
        <v>37951</v>
      </c>
    </row>
    <row r="2" spans="1:11" ht="12.75">
      <c r="A2" s="323" t="s">
        <v>188</v>
      </c>
      <c r="B2" s="324" t="e">
        <f>#REF!</f>
        <v>#REF!</v>
      </c>
      <c r="C2" s="325"/>
      <c r="D2" s="326"/>
      <c r="E2" s="327"/>
      <c r="F2" s="328" t="s">
        <v>189</v>
      </c>
      <c r="G2" s="329"/>
      <c r="H2" s="326"/>
      <c r="I2" s="327"/>
      <c r="J2" s="328" t="s">
        <v>189</v>
      </c>
      <c r="K2" s="329"/>
    </row>
    <row r="3" spans="1:11" ht="12.75">
      <c r="A3" s="323" t="s">
        <v>190</v>
      </c>
      <c r="B3" s="324" t="e">
        <f>#REF!</f>
        <v>#REF!</v>
      </c>
      <c r="C3" s="325"/>
      <c r="D3" s="326"/>
      <c r="E3" s="327"/>
      <c r="F3" s="330" t="s">
        <v>191</v>
      </c>
      <c r="G3" s="331">
        <f>Bid_Date</f>
        <v>37951</v>
      </c>
      <c r="H3" s="326"/>
      <c r="I3" s="327"/>
      <c r="J3" s="330" t="s">
        <v>191</v>
      </c>
      <c r="K3" s="331">
        <f>Bid_Date</f>
        <v>37951</v>
      </c>
    </row>
    <row r="4" spans="1:11" ht="13.5" thickBot="1">
      <c r="A4" s="332" t="s">
        <v>192</v>
      </c>
      <c r="B4" s="333" t="e">
        <f>#REF!</f>
        <v>#REF!</v>
      </c>
      <c r="C4" s="334"/>
      <c r="D4" s="335"/>
      <c r="E4" s="336"/>
      <c r="F4" s="337" t="s">
        <v>193</v>
      </c>
      <c r="G4" s="338" t="e">
        <f>#REF!</f>
        <v>#REF!</v>
      </c>
      <c r="H4" s="335"/>
      <c r="I4" s="336"/>
      <c r="J4" s="337" t="s">
        <v>193</v>
      </c>
      <c r="K4" s="338" t="e">
        <f>#REF!</f>
        <v>#REF!</v>
      </c>
    </row>
    <row r="5" spans="1:11" ht="13.5" thickBot="1">
      <c r="A5" s="339"/>
      <c r="B5" s="333"/>
      <c r="C5" s="334"/>
      <c r="D5" s="335"/>
      <c r="E5" s="336"/>
      <c r="F5" s="337"/>
      <c r="G5" s="340"/>
      <c r="H5" s="335"/>
      <c r="I5" s="336"/>
      <c r="J5" s="337"/>
      <c r="K5" s="340"/>
    </row>
    <row r="6" spans="1:11" ht="13.5" thickBot="1">
      <c r="A6" s="86" t="s">
        <v>195</v>
      </c>
      <c r="B6" s="86"/>
      <c r="C6" s="86" t="s">
        <v>313</v>
      </c>
      <c r="D6" s="86" t="s">
        <v>163</v>
      </c>
      <c r="E6" s="86"/>
      <c r="F6" s="86" t="s">
        <v>314</v>
      </c>
      <c r="G6" s="87" t="s">
        <v>315</v>
      </c>
      <c r="H6" s="86" t="s">
        <v>163</v>
      </c>
      <c r="I6" s="86"/>
      <c r="J6" s="86" t="s">
        <v>314</v>
      </c>
      <c r="K6" s="87" t="s">
        <v>315</v>
      </c>
    </row>
    <row r="7" spans="4:10" ht="12.75">
      <c r="D7" s="234"/>
      <c r="E7" s="235"/>
      <c r="F7" s="236"/>
      <c r="G7" s="237"/>
      <c r="J7" s="90"/>
    </row>
    <row r="8" spans="1:7" ht="18">
      <c r="A8" s="49" t="str">
        <f>Section_17</f>
        <v>A. Wilson Room</v>
      </c>
      <c r="D8" s="234"/>
      <c r="E8" s="235"/>
      <c r="F8" s="234"/>
      <c r="G8" s="237"/>
    </row>
    <row r="9" spans="2:7" ht="12.75">
      <c r="B9" s="41"/>
      <c r="D9" s="234"/>
      <c r="E9" s="235"/>
      <c r="F9" s="234"/>
      <c r="G9" s="237"/>
    </row>
    <row r="10" spans="1:10" ht="12.75">
      <c r="A10" s="42" t="s">
        <v>324</v>
      </c>
      <c r="C10" s="182"/>
      <c r="D10" s="238">
        <v>1</v>
      </c>
      <c r="E10" s="239" t="s">
        <v>377</v>
      </c>
      <c r="F10" s="240">
        <f>G25/D10</f>
        <v>6000</v>
      </c>
      <c r="G10" s="237"/>
      <c r="H10" s="111">
        <f>11.25*21.33*4</f>
        <v>959.8499999999999</v>
      </c>
      <c r="I10" s="112" t="s">
        <v>123</v>
      </c>
      <c r="J10" s="46">
        <f>K25/H10</f>
        <v>11.486169714017816</v>
      </c>
    </row>
    <row r="11" spans="1:8" ht="12.75">
      <c r="A11" s="43"/>
      <c r="D11" s="241"/>
      <c r="E11" s="235"/>
      <c r="F11" s="234"/>
      <c r="G11" s="237"/>
      <c r="H11" s="94"/>
    </row>
    <row r="12" spans="1:11" s="225" customFormat="1" ht="12.75">
      <c r="A12" s="287" t="s">
        <v>516</v>
      </c>
      <c r="B12" s="224"/>
      <c r="D12" s="242">
        <v>1</v>
      </c>
      <c r="E12" s="243" t="s">
        <v>377</v>
      </c>
      <c r="F12" s="244">
        <f>SUM(G12:G14)/D12</f>
        <v>6000</v>
      </c>
      <c r="G12" s="245"/>
      <c r="H12" s="226"/>
      <c r="I12" s="227"/>
      <c r="J12" s="228"/>
      <c r="K12" s="229"/>
    </row>
    <row r="13" spans="1:11" s="225" customFormat="1" ht="12.75" customHeight="1">
      <c r="A13" s="288" t="s">
        <v>63</v>
      </c>
      <c r="B13" s="210"/>
      <c r="C13" s="211"/>
      <c r="D13" s="246">
        <v>1</v>
      </c>
      <c r="E13" s="247" t="s">
        <v>377</v>
      </c>
      <c r="F13" s="248">
        <v>117000</v>
      </c>
      <c r="G13" s="270">
        <v>6000</v>
      </c>
      <c r="H13" s="212"/>
      <c r="I13" s="213"/>
      <c r="J13" s="214"/>
      <c r="K13" s="215"/>
    </row>
    <row r="14" spans="1:11" s="225" customFormat="1" ht="12.75">
      <c r="A14" s="209"/>
      <c r="B14" s="210"/>
      <c r="C14" s="211"/>
      <c r="D14" s="246"/>
      <c r="E14" s="247"/>
      <c r="F14" s="248"/>
      <c r="G14" s="249"/>
      <c r="H14" s="212"/>
      <c r="I14" s="213"/>
      <c r="J14" s="214"/>
      <c r="K14" s="215"/>
    </row>
    <row r="15" spans="1:11" ht="12.75">
      <c r="A15" s="283" t="str">
        <f>A12</f>
        <v>Wilson Room</v>
      </c>
      <c r="B15" s="88"/>
      <c r="D15" s="250"/>
      <c r="E15" s="251"/>
      <c r="F15" s="240"/>
      <c r="G15" s="252"/>
      <c r="H15" s="44">
        <f>H10</f>
        <v>959.8499999999999</v>
      </c>
      <c r="I15" s="56" t="s">
        <v>123</v>
      </c>
      <c r="J15" s="46">
        <f>SUM(K15:K24)/H15</f>
        <v>11.486169714017816</v>
      </c>
      <c r="K15" s="96"/>
    </row>
    <row r="16" spans="1:11" ht="38.25" customHeight="1">
      <c r="A16" s="453" t="s">
        <v>310</v>
      </c>
      <c r="B16" s="453"/>
      <c r="C16" s="453"/>
      <c r="D16" s="253"/>
      <c r="E16" s="254"/>
      <c r="F16" s="255"/>
      <c r="G16" s="256"/>
      <c r="H16" s="100">
        <f>(6*11.25*16)</f>
        <v>1080</v>
      </c>
      <c r="I16" s="101" t="s">
        <v>123</v>
      </c>
      <c r="J16" s="102">
        <v>2.5</v>
      </c>
      <c r="K16" s="103">
        <f>H16*J16</f>
        <v>2700</v>
      </c>
    </row>
    <row r="17" spans="1:11" ht="53.25" customHeight="1">
      <c r="A17" s="453" t="s">
        <v>311</v>
      </c>
      <c r="B17" s="453"/>
      <c r="C17" s="453"/>
      <c r="D17" s="253"/>
      <c r="E17" s="254"/>
      <c r="F17" s="255"/>
      <c r="G17" s="256"/>
      <c r="H17" s="100">
        <f>(5*11.25*16)</f>
        <v>900</v>
      </c>
      <c r="I17" s="101" t="s">
        <v>123</v>
      </c>
      <c r="J17" s="102">
        <v>6.75</v>
      </c>
      <c r="K17" s="103">
        <f>H17*J17</f>
        <v>6075</v>
      </c>
    </row>
    <row r="18" spans="1:11" ht="39.75" customHeight="1">
      <c r="A18" s="453" t="s">
        <v>312</v>
      </c>
      <c r="B18" s="453"/>
      <c r="C18" s="453"/>
      <c r="D18" s="253"/>
      <c r="E18" s="254"/>
      <c r="F18" s="255"/>
      <c r="G18" s="256"/>
      <c r="H18" s="100">
        <v>1</v>
      </c>
      <c r="I18" s="101" t="s">
        <v>150</v>
      </c>
      <c r="J18" s="102">
        <v>2250</v>
      </c>
      <c r="K18" s="103">
        <f>H18*J18</f>
        <v>2250</v>
      </c>
    </row>
    <row r="19" spans="1:11" s="222" customFormat="1" ht="52.5" customHeight="1">
      <c r="A19" s="453" t="s">
        <v>263</v>
      </c>
      <c r="B19" s="453"/>
      <c r="C19" s="453"/>
      <c r="D19" s="257"/>
      <c r="E19" s="258"/>
      <c r="F19" s="259"/>
      <c r="G19" s="260"/>
      <c r="H19" s="218">
        <v>0</v>
      </c>
      <c r="I19" s="219" t="s">
        <v>123</v>
      </c>
      <c r="J19" s="220">
        <v>2.5</v>
      </c>
      <c r="K19" s="221">
        <f>H19*J19</f>
        <v>0</v>
      </c>
    </row>
    <row r="20" spans="1:11" s="222" customFormat="1" ht="51" customHeight="1">
      <c r="A20" s="453" t="s">
        <v>264</v>
      </c>
      <c r="B20" s="453"/>
      <c r="C20" s="453"/>
      <c r="D20" s="257"/>
      <c r="E20" s="258"/>
      <c r="F20" s="259"/>
      <c r="G20" s="260"/>
      <c r="H20" s="218">
        <v>0</v>
      </c>
      <c r="I20" s="219" t="s">
        <v>123</v>
      </c>
      <c r="J20" s="220">
        <f>45/9</f>
        <v>5</v>
      </c>
      <c r="K20" s="221">
        <f>H20*J20</f>
        <v>0</v>
      </c>
    </row>
    <row r="21" spans="1:11" s="222" customFormat="1" ht="12.75">
      <c r="A21" s="453" t="s">
        <v>265</v>
      </c>
      <c r="B21" s="453"/>
      <c r="C21" s="453"/>
      <c r="D21" s="257"/>
      <c r="E21" s="258"/>
      <c r="F21" s="259"/>
      <c r="G21" s="260"/>
      <c r="H21" s="218"/>
      <c r="I21" s="219"/>
      <c r="J21" s="220"/>
      <c r="K21" s="221"/>
    </row>
    <row r="22" spans="1:11" s="222" customFormat="1" ht="12.75">
      <c r="A22" s="282" t="s">
        <v>266</v>
      </c>
      <c r="B22" s="216"/>
      <c r="C22" s="217"/>
      <c r="D22" s="257"/>
      <c r="E22" s="258"/>
      <c r="F22" s="259"/>
      <c r="G22" s="260"/>
      <c r="H22" s="218"/>
      <c r="I22" s="219"/>
      <c r="J22" s="220"/>
      <c r="K22" s="221"/>
    </row>
    <row r="23" spans="1:11" s="222" customFormat="1" ht="12.75">
      <c r="A23" s="282" t="s">
        <v>267</v>
      </c>
      <c r="B23" s="216"/>
      <c r="C23" s="217"/>
      <c r="D23" s="257"/>
      <c r="E23" s="258"/>
      <c r="F23" s="259"/>
      <c r="G23" s="260"/>
      <c r="H23" s="218"/>
      <c r="I23" s="219"/>
      <c r="J23" s="220"/>
      <c r="K23" s="221"/>
    </row>
    <row r="24" spans="3:11" s="88" customFormat="1" ht="12.75" customHeight="1" thickBot="1">
      <c r="C24" s="67"/>
      <c r="D24" s="261"/>
      <c r="E24" s="235"/>
      <c r="F24" s="234"/>
      <c r="G24" s="262"/>
      <c r="H24" s="104"/>
      <c r="I24" s="89"/>
      <c r="J24" s="67"/>
      <c r="K24" s="80"/>
    </row>
    <row r="25" spans="4:11" ht="12.75">
      <c r="D25" s="234"/>
      <c r="E25" s="235"/>
      <c r="F25" s="263" t="str">
        <f>A8</f>
        <v>A. Wilson Room</v>
      </c>
      <c r="G25" s="264">
        <f>SUM(G10:G14)</f>
        <v>6000</v>
      </c>
      <c r="J25" s="47"/>
      <c r="K25" s="48">
        <f>SUM(K10:K24)</f>
        <v>11025</v>
      </c>
    </row>
    <row r="26" spans="4:7" ht="12.75">
      <c r="D26" s="234"/>
      <c r="E26" s="235"/>
      <c r="F26" s="234"/>
      <c r="G26" s="237"/>
    </row>
    <row r="27" spans="1:7" ht="18">
      <c r="A27" s="49" t="str">
        <f>Section_18</f>
        <v>B. Lower Level: Expand 3 Ex. Restrooms</v>
      </c>
      <c r="D27" s="234"/>
      <c r="E27" s="235"/>
      <c r="F27" s="234"/>
      <c r="G27" s="237"/>
    </row>
    <row r="28" spans="2:7" ht="12.75">
      <c r="B28" s="41"/>
      <c r="D28" s="234"/>
      <c r="E28" s="235"/>
      <c r="F28" s="234"/>
      <c r="G28" s="237"/>
    </row>
    <row r="29" spans="1:10" ht="12.75">
      <c r="A29" s="42" t="s">
        <v>324</v>
      </c>
      <c r="C29" s="182"/>
      <c r="D29" s="238">
        <v>1</v>
      </c>
      <c r="E29" s="239" t="s">
        <v>150</v>
      </c>
      <c r="F29" s="265">
        <f>G45/D29</f>
        <v>340000</v>
      </c>
      <c r="G29" s="237"/>
      <c r="H29" s="111">
        <v>1</v>
      </c>
      <c r="I29" s="112" t="s">
        <v>150</v>
      </c>
      <c r="J29" s="181">
        <f>K45/H29</f>
        <v>80</v>
      </c>
    </row>
    <row r="30" spans="1:8" ht="12.75">
      <c r="A30" s="43"/>
      <c r="D30" s="241"/>
      <c r="E30" s="235"/>
      <c r="F30" s="234"/>
      <c r="G30" s="237"/>
      <c r="H30" s="94"/>
    </row>
    <row r="31" spans="1:11" s="225" customFormat="1" ht="12.75">
      <c r="A31" s="287" t="s">
        <v>517</v>
      </c>
      <c r="B31" s="224"/>
      <c r="D31" s="242"/>
      <c r="E31" s="243"/>
      <c r="F31" s="266"/>
      <c r="G31" s="270">
        <v>340000</v>
      </c>
      <c r="H31" s="226"/>
      <c r="I31" s="227"/>
      <c r="K31" s="229"/>
    </row>
    <row r="32" spans="1:11" s="225" customFormat="1" ht="12.75" customHeight="1">
      <c r="A32" s="288" t="s">
        <v>63</v>
      </c>
      <c r="B32" s="210"/>
      <c r="C32" s="211"/>
      <c r="D32" s="246">
        <v>1</v>
      </c>
      <c r="E32" s="247" t="s">
        <v>377</v>
      </c>
      <c r="F32" s="248">
        <v>117000</v>
      </c>
      <c r="G32" s="249"/>
      <c r="H32" s="212"/>
      <c r="I32" s="213"/>
      <c r="J32" s="214"/>
      <c r="K32" s="215"/>
    </row>
    <row r="33" spans="1:11" s="225" customFormat="1" ht="15.75">
      <c r="A33" s="286"/>
      <c r="B33" s="210"/>
      <c r="C33" s="211"/>
      <c r="D33" s="246"/>
      <c r="E33" s="247"/>
      <c r="F33" s="248"/>
      <c r="G33" s="249"/>
      <c r="H33" s="212"/>
      <c r="I33" s="213"/>
      <c r="J33" s="214"/>
      <c r="K33" s="215"/>
    </row>
    <row r="34" spans="1:11" ht="12.75">
      <c r="A34" s="283" t="str">
        <f>A31</f>
        <v>Existing Restrooms</v>
      </c>
      <c r="B34" s="88"/>
      <c r="D34" s="250"/>
      <c r="E34" s="251"/>
      <c r="F34" s="234"/>
      <c r="G34" s="252"/>
      <c r="H34" s="44"/>
      <c r="I34" s="56"/>
      <c r="K34" s="96"/>
    </row>
    <row r="35" spans="1:11" ht="25.5" customHeight="1">
      <c r="A35" s="453" t="s">
        <v>268</v>
      </c>
      <c r="B35" s="453"/>
      <c r="C35" s="453"/>
      <c r="D35" s="238"/>
      <c r="E35" s="251"/>
      <c r="F35" s="240"/>
      <c r="G35" s="252"/>
      <c r="H35" s="92">
        <v>1</v>
      </c>
      <c r="I35" s="56" t="s">
        <v>123</v>
      </c>
      <c r="J35" s="46">
        <f>SUM(K35:K44)/H35</f>
        <v>80</v>
      </c>
      <c r="K35" s="96"/>
    </row>
    <row r="36" spans="1:11" ht="12.75">
      <c r="A36" s="282" t="s">
        <v>269</v>
      </c>
      <c r="B36" s="98"/>
      <c r="C36" s="99"/>
      <c r="D36" s="253"/>
      <c r="E36" s="254"/>
      <c r="F36" s="255"/>
      <c r="G36" s="256"/>
      <c r="H36" s="100">
        <v>1</v>
      </c>
      <c r="I36" s="101" t="s">
        <v>123</v>
      </c>
      <c r="J36" s="102">
        <v>10</v>
      </c>
      <c r="K36" s="103">
        <f>H36*J36</f>
        <v>10</v>
      </c>
    </row>
    <row r="37" spans="1:11" ht="12.75">
      <c r="A37" s="282" t="s">
        <v>270</v>
      </c>
      <c r="B37" s="98"/>
      <c r="C37" s="99"/>
      <c r="D37" s="253"/>
      <c r="E37" s="254"/>
      <c r="F37" s="255"/>
      <c r="G37" s="256"/>
      <c r="H37" s="100">
        <v>1</v>
      </c>
      <c r="I37" s="101" t="s">
        <v>123</v>
      </c>
      <c r="J37" s="102">
        <v>10</v>
      </c>
      <c r="K37" s="103">
        <f aca="true" t="shared" si="0" ref="K37:K43">H37*J37</f>
        <v>10</v>
      </c>
    </row>
    <row r="38" spans="1:11" ht="12.75">
      <c r="A38" s="282" t="s">
        <v>271</v>
      </c>
      <c r="B38" s="98"/>
      <c r="C38" s="99"/>
      <c r="D38" s="253"/>
      <c r="E38" s="254"/>
      <c r="F38" s="255"/>
      <c r="G38" s="256"/>
      <c r="H38" s="100">
        <v>1</v>
      </c>
      <c r="I38" s="101" t="s">
        <v>123</v>
      </c>
      <c r="J38" s="102">
        <v>10</v>
      </c>
      <c r="K38" s="103">
        <f t="shared" si="0"/>
        <v>10</v>
      </c>
    </row>
    <row r="39" spans="1:11" ht="12.75">
      <c r="A39" s="282" t="s">
        <v>272</v>
      </c>
      <c r="B39" s="98"/>
      <c r="C39" s="99"/>
      <c r="D39" s="253"/>
      <c r="E39" s="254"/>
      <c r="F39" s="255"/>
      <c r="G39" s="256"/>
      <c r="H39" s="100">
        <v>1</v>
      </c>
      <c r="I39" s="101" t="s">
        <v>123</v>
      </c>
      <c r="J39" s="102">
        <v>10</v>
      </c>
      <c r="K39" s="103">
        <f t="shared" si="0"/>
        <v>10</v>
      </c>
    </row>
    <row r="40" spans="1:11" ht="12.75">
      <c r="A40" s="282" t="s">
        <v>273</v>
      </c>
      <c r="B40" s="98"/>
      <c r="C40" s="99"/>
      <c r="D40" s="253"/>
      <c r="E40" s="254"/>
      <c r="F40" s="255"/>
      <c r="G40" s="256"/>
      <c r="H40" s="100">
        <v>1</v>
      </c>
      <c r="I40" s="101" t="s">
        <v>123</v>
      </c>
      <c r="J40" s="102">
        <v>10</v>
      </c>
      <c r="K40" s="103">
        <f t="shared" si="0"/>
        <v>10</v>
      </c>
    </row>
    <row r="41" spans="1:11" ht="12.75">
      <c r="A41" s="282" t="s">
        <v>274</v>
      </c>
      <c r="B41" s="98"/>
      <c r="C41" s="99"/>
      <c r="D41" s="253"/>
      <c r="E41" s="254"/>
      <c r="F41" s="255"/>
      <c r="G41" s="256"/>
      <c r="H41" s="100">
        <v>1</v>
      </c>
      <c r="I41" s="101" t="s">
        <v>123</v>
      </c>
      <c r="J41" s="102">
        <v>10</v>
      </c>
      <c r="K41" s="103">
        <f t="shared" si="0"/>
        <v>10</v>
      </c>
    </row>
    <row r="42" spans="1:11" ht="12.75">
      <c r="A42" s="282" t="s">
        <v>275</v>
      </c>
      <c r="B42" s="98"/>
      <c r="C42" s="99"/>
      <c r="D42" s="253"/>
      <c r="E42" s="254"/>
      <c r="F42" s="255"/>
      <c r="G42" s="256"/>
      <c r="H42" s="100">
        <v>1</v>
      </c>
      <c r="I42" s="101" t="s">
        <v>123</v>
      </c>
      <c r="J42" s="102">
        <v>10</v>
      </c>
      <c r="K42" s="103">
        <f t="shared" si="0"/>
        <v>10</v>
      </c>
    </row>
    <row r="43" spans="1:11" ht="12.75">
      <c r="A43" s="282" t="s">
        <v>276</v>
      </c>
      <c r="B43" s="98"/>
      <c r="C43" s="99"/>
      <c r="D43" s="253"/>
      <c r="E43" s="254"/>
      <c r="F43" s="255"/>
      <c r="G43" s="256"/>
      <c r="H43" s="100">
        <v>1</v>
      </c>
      <c r="I43" s="101" t="s">
        <v>123</v>
      </c>
      <c r="J43" s="102">
        <v>10</v>
      </c>
      <c r="K43" s="103">
        <f t="shared" si="0"/>
        <v>10</v>
      </c>
    </row>
    <row r="44" spans="2:11" ht="13.5" thickBot="1">
      <c r="B44" s="88"/>
      <c r="D44" s="261"/>
      <c r="E44" s="235"/>
      <c r="F44" s="234"/>
      <c r="G44" s="262"/>
      <c r="H44" s="104"/>
      <c r="K44" s="80"/>
    </row>
    <row r="45" spans="4:11" ht="12.75">
      <c r="D45" s="234"/>
      <c r="E45" s="235"/>
      <c r="F45" s="263" t="str">
        <f>A27</f>
        <v>B. Lower Level: Expand 3 Ex. Restrooms</v>
      </c>
      <c r="G45" s="264">
        <f>SUM(G29:G33)</f>
        <v>340000</v>
      </c>
      <c r="J45" s="47"/>
      <c r="K45" s="48">
        <f>SUM(K29:K44)</f>
        <v>80</v>
      </c>
    </row>
    <row r="46" spans="4:7" ht="12.75">
      <c r="D46" s="234"/>
      <c r="E46" s="235"/>
      <c r="F46" s="234"/>
      <c r="G46" s="237"/>
    </row>
    <row r="47" spans="1:7" ht="18">
      <c r="A47" s="49" t="str">
        <f>Section_19</f>
        <v>C. Lower Level: New Restroom</v>
      </c>
      <c r="D47" s="234"/>
      <c r="E47" s="235"/>
      <c r="F47" s="234"/>
      <c r="G47" s="237"/>
    </row>
    <row r="48" spans="2:7" ht="12.75">
      <c r="B48" s="41"/>
      <c r="D48" s="234"/>
      <c r="E48" s="235"/>
      <c r="F48" s="234"/>
      <c r="G48" s="237"/>
    </row>
    <row r="49" spans="1:10" ht="12.75">
      <c r="A49" s="42" t="s">
        <v>324</v>
      </c>
      <c r="C49" s="182"/>
      <c r="D49" s="238">
        <v>1</v>
      </c>
      <c r="E49" s="239" t="s">
        <v>377</v>
      </c>
      <c r="F49" s="238">
        <f>G58/D49</f>
        <v>136000</v>
      </c>
      <c r="G49" s="237"/>
      <c r="H49" s="111">
        <v>1</v>
      </c>
      <c r="I49" s="112" t="s">
        <v>377</v>
      </c>
      <c r="J49" s="111">
        <f>K58/H49</f>
        <v>20</v>
      </c>
    </row>
    <row r="50" spans="1:8" ht="12.75">
      <c r="A50" s="43"/>
      <c r="D50" s="241"/>
      <c r="E50" s="235"/>
      <c r="F50" s="234"/>
      <c r="G50" s="237"/>
      <c r="H50" s="94"/>
    </row>
    <row r="51" spans="1:11" s="224" customFormat="1" ht="12.75">
      <c r="A51" s="287" t="s">
        <v>518</v>
      </c>
      <c r="D51" s="242">
        <v>1</v>
      </c>
      <c r="E51" s="269" t="s">
        <v>150</v>
      </c>
      <c r="F51" s="281">
        <f>SUM(G51:G53)/D51</f>
        <v>136000</v>
      </c>
      <c r="G51" s="270">
        <v>136000</v>
      </c>
      <c r="H51" s="226"/>
      <c r="I51" s="231"/>
      <c r="J51" s="228"/>
      <c r="K51" s="232"/>
    </row>
    <row r="52" spans="1:11" s="225" customFormat="1" ht="12.75" customHeight="1">
      <c r="A52" s="288" t="s">
        <v>63</v>
      </c>
      <c r="B52" s="210"/>
      <c r="C52" s="211"/>
      <c r="D52" s="246">
        <v>1</v>
      </c>
      <c r="E52" s="247" t="s">
        <v>377</v>
      </c>
      <c r="F52" s="248">
        <v>117000</v>
      </c>
      <c r="G52" s="249"/>
      <c r="H52" s="212"/>
      <c r="I52" s="213"/>
      <c r="J52" s="214"/>
      <c r="K52" s="215"/>
    </row>
    <row r="53" spans="1:11" s="224" customFormat="1" ht="12.75">
      <c r="A53" s="209"/>
      <c r="B53" s="210"/>
      <c r="C53" s="211"/>
      <c r="D53" s="246"/>
      <c r="E53" s="247"/>
      <c r="F53" s="248"/>
      <c r="G53" s="271"/>
      <c r="H53" s="212"/>
      <c r="I53" s="213"/>
      <c r="J53" s="214"/>
      <c r="K53" s="233"/>
    </row>
    <row r="54" spans="1:11" s="88" customFormat="1" ht="12.75">
      <c r="A54" s="283" t="str">
        <f>A51</f>
        <v>New Restroom</v>
      </c>
      <c r="D54" s="250"/>
      <c r="E54" s="272"/>
      <c r="F54" s="240"/>
      <c r="G54" s="237"/>
      <c r="H54" s="44">
        <v>1</v>
      </c>
      <c r="I54" s="45" t="s">
        <v>377</v>
      </c>
      <c r="J54" s="46">
        <f>SUM(K54:K57)/H54</f>
        <v>20</v>
      </c>
      <c r="K54" s="106"/>
    </row>
    <row r="55" spans="1:11" s="88" customFormat="1" ht="51.75" customHeight="1">
      <c r="A55" s="453" t="s">
        <v>277</v>
      </c>
      <c r="B55" s="453"/>
      <c r="C55" s="453"/>
      <c r="D55" s="253"/>
      <c r="E55" s="254"/>
      <c r="F55" s="255"/>
      <c r="G55" s="273"/>
      <c r="H55" s="100">
        <f>H54</f>
        <v>1</v>
      </c>
      <c r="I55" s="101" t="s">
        <v>123</v>
      </c>
      <c r="J55" s="102">
        <v>10</v>
      </c>
      <c r="K55" s="107">
        <f>H55*J55</f>
        <v>10</v>
      </c>
    </row>
    <row r="56" spans="1:11" s="88" customFormat="1" ht="12.75">
      <c r="A56" s="282" t="s">
        <v>278</v>
      </c>
      <c r="B56" s="98"/>
      <c r="C56" s="99"/>
      <c r="D56" s="253"/>
      <c r="E56" s="254"/>
      <c r="F56" s="255"/>
      <c r="G56" s="273"/>
      <c r="H56" s="100">
        <f>H55</f>
        <v>1</v>
      </c>
      <c r="I56" s="101" t="s">
        <v>123</v>
      </c>
      <c r="J56" s="102">
        <v>10</v>
      </c>
      <c r="K56" s="107">
        <f>H56*J56</f>
        <v>10</v>
      </c>
    </row>
    <row r="57" spans="4:11" s="88" customFormat="1" ht="13.5" thickBot="1">
      <c r="D57" s="261"/>
      <c r="E57" s="235"/>
      <c r="F57" s="234"/>
      <c r="G57" s="262"/>
      <c r="H57" s="108"/>
      <c r="I57" s="109"/>
      <c r="K57" s="110"/>
    </row>
    <row r="58" spans="4:11" s="88" customFormat="1" ht="12.75">
      <c r="D58" s="234"/>
      <c r="E58" s="235"/>
      <c r="F58" s="263" t="str">
        <f>A47</f>
        <v>C. Lower Level: New Restroom</v>
      </c>
      <c r="G58" s="264">
        <f>SUM(G49:G53)</f>
        <v>136000</v>
      </c>
      <c r="I58" s="109"/>
      <c r="J58" s="57"/>
      <c r="K58" s="58">
        <f>SUM(K49:K57)</f>
        <v>20</v>
      </c>
    </row>
    <row r="59" spans="4:11" s="88" customFormat="1" ht="12.75">
      <c r="D59" s="234"/>
      <c r="E59" s="235"/>
      <c r="F59" s="234"/>
      <c r="G59" s="237"/>
      <c r="I59" s="109"/>
      <c r="K59" s="106"/>
    </row>
    <row r="60" spans="1:11" s="88" customFormat="1" ht="18">
      <c r="A60" s="49" t="str">
        <f>Section_20</f>
        <v>D. Floral Room.</v>
      </c>
      <c r="D60" s="234"/>
      <c r="E60" s="235"/>
      <c r="F60" s="234"/>
      <c r="G60" s="237"/>
      <c r="I60" s="109"/>
      <c r="K60" s="106"/>
    </row>
    <row r="61" spans="2:11" s="88" customFormat="1" ht="12.75">
      <c r="B61" s="59"/>
      <c r="D61" s="234"/>
      <c r="E61" s="235"/>
      <c r="F61" s="234"/>
      <c r="G61" s="237"/>
      <c r="I61" s="109"/>
      <c r="K61" s="106"/>
    </row>
    <row r="62" spans="1:11" s="88" customFormat="1" ht="12.75">
      <c r="A62" s="42" t="s">
        <v>324</v>
      </c>
      <c r="C62" s="182"/>
      <c r="D62" s="238">
        <v>35</v>
      </c>
      <c r="E62" s="239" t="s">
        <v>375</v>
      </c>
      <c r="F62" s="274">
        <f>G73/D62</f>
        <v>542.8571428571429</v>
      </c>
      <c r="G62" s="237"/>
      <c r="H62" s="111">
        <v>35</v>
      </c>
      <c r="I62" s="112" t="s">
        <v>375</v>
      </c>
      <c r="J62" s="113">
        <f>K73/H62</f>
        <v>3.257142857142857</v>
      </c>
      <c r="K62" s="106"/>
    </row>
    <row r="63" spans="1:11" s="88" customFormat="1" ht="12.75">
      <c r="A63" s="43"/>
      <c r="D63" s="241"/>
      <c r="E63" s="235"/>
      <c r="F63" s="234"/>
      <c r="G63" s="237"/>
      <c r="H63" s="114"/>
      <c r="I63" s="109"/>
      <c r="K63" s="106"/>
    </row>
    <row r="64" spans="1:11" s="225" customFormat="1" ht="12.75">
      <c r="A64" s="287" t="s">
        <v>279</v>
      </c>
      <c r="B64" s="224"/>
      <c r="D64" s="242"/>
      <c r="E64" s="269"/>
      <c r="F64" s="244"/>
      <c r="G64" s="270">
        <v>19000</v>
      </c>
      <c r="H64" s="226"/>
      <c r="I64" s="231"/>
      <c r="J64" s="228"/>
      <c r="K64" s="232"/>
    </row>
    <row r="65" spans="1:11" s="225" customFormat="1" ht="12.75" customHeight="1">
      <c r="A65" s="288" t="s">
        <v>63</v>
      </c>
      <c r="B65" s="210"/>
      <c r="C65" s="211"/>
      <c r="D65" s="246">
        <v>1</v>
      </c>
      <c r="E65" s="247" t="s">
        <v>377</v>
      </c>
      <c r="F65" s="248">
        <v>117000</v>
      </c>
      <c r="G65" s="249"/>
      <c r="H65" s="212"/>
      <c r="I65" s="213"/>
      <c r="J65" s="214"/>
      <c r="K65" s="215"/>
    </row>
    <row r="66" spans="1:11" s="224" customFormat="1" ht="12.75">
      <c r="A66" s="209"/>
      <c r="B66" s="210"/>
      <c r="C66" s="211"/>
      <c r="D66" s="246"/>
      <c r="E66" s="247"/>
      <c r="F66" s="248"/>
      <c r="G66" s="271"/>
      <c r="H66" s="212"/>
      <c r="I66" s="213"/>
      <c r="J66" s="214"/>
      <c r="K66" s="233"/>
    </row>
    <row r="67" spans="1:11" ht="12.75">
      <c r="A67" s="95" t="str">
        <f>A64</f>
        <v>Foundation &amp; Structural Repairs:</v>
      </c>
      <c r="B67" s="88"/>
      <c r="D67" s="250"/>
      <c r="E67" s="272"/>
      <c r="F67" s="240"/>
      <c r="G67" s="237"/>
      <c r="H67" s="44">
        <f>H62</f>
        <v>35</v>
      </c>
      <c r="I67" s="45" t="s">
        <v>375</v>
      </c>
      <c r="J67" s="46">
        <f>SUM(K68:K72)/H67</f>
        <v>3.257142857142857</v>
      </c>
      <c r="K67" s="106"/>
    </row>
    <row r="68" spans="1:11" s="88" customFormat="1" ht="51.75" customHeight="1">
      <c r="A68" s="453" t="s">
        <v>283</v>
      </c>
      <c r="B68" s="453"/>
      <c r="C68" s="453"/>
      <c r="D68" s="250"/>
      <c r="E68" s="272"/>
      <c r="F68" s="240"/>
      <c r="G68" s="237"/>
      <c r="H68" s="100">
        <v>1</v>
      </c>
      <c r="I68" s="101" t="s">
        <v>377</v>
      </c>
      <c r="J68" s="102">
        <v>4</v>
      </c>
      <c r="K68" s="107">
        <f>H68*J68</f>
        <v>4</v>
      </c>
    </row>
    <row r="69" spans="1:11" s="88" customFormat="1" ht="53.25" customHeight="1">
      <c r="A69" s="453" t="s">
        <v>280</v>
      </c>
      <c r="B69" s="453"/>
      <c r="C69" s="453"/>
      <c r="D69" s="253"/>
      <c r="E69" s="254"/>
      <c r="F69" s="255"/>
      <c r="G69" s="273"/>
      <c r="H69" s="100">
        <v>1</v>
      </c>
      <c r="I69" s="101" t="s">
        <v>325</v>
      </c>
      <c r="J69" s="102">
        <v>5</v>
      </c>
      <c r="K69" s="107">
        <f>H69*J69</f>
        <v>5</v>
      </c>
    </row>
    <row r="70" spans="1:11" s="88" customFormat="1" ht="40.5" customHeight="1">
      <c r="A70" s="453" t="s">
        <v>281</v>
      </c>
      <c r="B70" s="453"/>
      <c r="C70" s="453"/>
      <c r="D70" s="253"/>
      <c r="E70" s="254"/>
      <c r="F70" s="255"/>
      <c r="G70" s="273"/>
      <c r="H70" s="100">
        <v>1</v>
      </c>
      <c r="I70" s="101" t="s">
        <v>150</v>
      </c>
      <c r="J70" s="102">
        <v>30</v>
      </c>
      <c r="K70" s="107">
        <f>H70*J70</f>
        <v>30</v>
      </c>
    </row>
    <row r="71" spans="1:11" s="88" customFormat="1" ht="24.75" customHeight="1">
      <c r="A71" s="453" t="s">
        <v>282</v>
      </c>
      <c r="B71" s="453"/>
      <c r="C71" s="453"/>
      <c r="D71" s="253"/>
      <c r="E71" s="254"/>
      <c r="F71" s="255"/>
      <c r="G71" s="273"/>
      <c r="H71" s="100">
        <v>1</v>
      </c>
      <c r="I71" s="101" t="s">
        <v>123</v>
      </c>
      <c r="J71" s="102">
        <v>75</v>
      </c>
      <c r="K71" s="107">
        <f>H71*J71</f>
        <v>75</v>
      </c>
    </row>
    <row r="72" spans="4:11" s="88" customFormat="1" ht="13.5" thickBot="1">
      <c r="D72" s="261"/>
      <c r="E72" s="235"/>
      <c r="F72" s="234"/>
      <c r="G72" s="262"/>
      <c r="H72" s="108"/>
      <c r="I72" s="109"/>
      <c r="K72" s="110"/>
    </row>
    <row r="73" spans="4:11" s="88" customFormat="1" ht="12.75">
      <c r="D73" s="234"/>
      <c r="E73" s="235"/>
      <c r="F73" s="263" t="str">
        <f>A60</f>
        <v>D. Floral Room.</v>
      </c>
      <c r="G73" s="264">
        <f>SUM(G62:G66)</f>
        <v>19000</v>
      </c>
      <c r="I73" s="109"/>
      <c r="J73" s="57"/>
      <c r="K73" s="58">
        <f>SUM(K62:K72)</f>
        <v>114</v>
      </c>
    </row>
    <row r="74" spans="4:11" s="88" customFormat="1" ht="12.75">
      <c r="D74" s="234"/>
      <c r="E74" s="235"/>
      <c r="F74" s="234"/>
      <c r="G74" s="237"/>
      <c r="I74" s="109"/>
      <c r="K74" s="106"/>
    </row>
    <row r="75" spans="1:11" s="88" customFormat="1" ht="18">
      <c r="A75" s="49" t="str">
        <f>Section_21</f>
        <v>E. Carriage House, Loft, Garage</v>
      </c>
      <c r="D75" s="234"/>
      <c r="E75" s="235"/>
      <c r="F75" s="234"/>
      <c r="G75" s="237"/>
      <c r="I75" s="109"/>
      <c r="K75" s="106"/>
    </row>
    <row r="76" spans="2:11" s="88" customFormat="1" ht="12.75">
      <c r="B76" s="59"/>
      <c r="D76" s="234"/>
      <c r="E76" s="235"/>
      <c r="F76" s="234"/>
      <c r="G76" s="237"/>
      <c r="I76" s="109"/>
      <c r="K76" s="106"/>
    </row>
    <row r="77" spans="1:11" s="88" customFormat="1" ht="12.75">
      <c r="A77" s="42" t="s">
        <v>324</v>
      </c>
      <c r="C77" s="182"/>
      <c r="D77" s="238">
        <v>1</v>
      </c>
      <c r="E77" s="239" t="s">
        <v>377</v>
      </c>
      <c r="F77" s="274">
        <f>G85/D77</f>
        <v>0</v>
      </c>
      <c r="G77" s="237"/>
      <c r="H77" s="111">
        <v>75</v>
      </c>
      <c r="I77" s="112" t="s">
        <v>375</v>
      </c>
      <c r="J77" s="113">
        <f>K85/H77</f>
        <v>0</v>
      </c>
      <c r="K77" s="106"/>
    </row>
    <row r="78" spans="1:11" s="88" customFormat="1" ht="12.75">
      <c r="A78" s="43"/>
      <c r="D78" s="241"/>
      <c r="E78" s="235"/>
      <c r="F78" s="234"/>
      <c r="G78" s="237"/>
      <c r="H78" s="114"/>
      <c r="I78" s="109"/>
      <c r="K78" s="106"/>
    </row>
    <row r="79" spans="1:11" s="224" customFormat="1" ht="12.75">
      <c r="A79" s="287" t="s">
        <v>139</v>
      </c>
      <c r="D79" s="242"/>
      <c r="E79" s="269"/>
      <c r="F79" s="244"/>
      <c r="G79" s="270"/>
      <c r="H79" s="226"/>
      <c r="I79" s="231"/>
      <c r="J79" s="228"/>
      <c r="K79" s="232"/>
    </row>
    <row r="80" spans="1:11" s="225" customFormat="1" ht="12.75" customHeight="1">
      <c r="A80" s="288" t="s">
        <v>63</v>
      </c>
      <c r="B80" s="210"/>
      <c r="C80" s="211"/>
      <c r="D80" s="246">
        <v>1</v>
      </c>
      <c r="E80" s="247" t="s">
        <v>377</v>
      </c>
      <c r="F80" s="248">
        <v>117000</v>
      </c>
      <c r="G80" s="270">
        <v>0</v>
      </c>
      <c r="H80" s="212"/>
      <c r="I80" s="213"/>
      <c r="J80" s="214"/>
      <c r="K80" s="215"/>
    </row>
    <row r="81" spans="1:11" s="224" customFormat="1" ht="12.75">
      <c r="A81" s="209"/>
      <c r="B81" s="210"/>
      <c r="D81" s="246"/>
      <c r="E81" s="247"/>
      <c r="F81" s="248"/>
      <c r="G81" s="271"/>
      <c r="H81" s="212"/>
      <c r="I81" s="213"/>
      <c r="J81" s="214"/>
      <c r="K81" s="233"/>
    </row>
    <row r="82" spans="1:11" s="88" customFormat="1" ht="12.75">
      <c r="A82" s="95" t="str">
        <f>A79</f>
        <v>Carriage House</v>
      </c>
      <c r="D82" s="250"/>
      <c r="E82" s="272"/>
      <c r="F82" s="240"/>
      <c r="G82" s="237"/>
      <c r="H82" s="44">
        <f>H77</f>
        <v>75</v>
      </c>
      <c r="I82" s="45" t="s">
        <v>375</v>
      </c>
      <c r="J82" s="46">
        <f>SUM(K83:K84)/H82</f>
        <v>0</v>
      </c>
      <c r="K82" s="106"/>
    </row>
    <row r="83" spans="1:11" s="88" customFormat="1" ht="12.75" customHeight="1">
      <c r="A83" s="453" t="s">
        <v>140</v>
      </c>
      <c r="B83" s="453"/>
      <c r="C83" s="453"/>
      <c r="D83" s="250"/>
      <c r="E83" s="272"/>
      <c r="F83" s="240"/>
      <c r="G83" s="237"/>
      <c r="K83" s="106"/>
    </row>
    <row r="84" spans="4:11" s="88" customFormat="1" ht="13.5" thickBot="1">
      <c r="D84" s="261"/>
      <c r="E84" s="235"/>
      <c r="F84" s="234"/>
      <c r="G84" s="262"/>
      <c r="H84" s="108"/>
      <c r="I84" s="109"/>
      <c r="K84" s="110"/>
    </row>
    <row r="85" spans="4:11" s="88" customFormat="1" ht="12.75">
      <c r="D85" s="234"/>
      <c r="E85" s="235"/>
      <c r="F85" s="263" t="str">
        <f>A75</f>
        <v>E. Carriage House, Loft, Garage</v>
      </c>
      <c r="G85" s="264">
        <f>SUM(G77:G81)</f>
        <v>0</v>
      </c>
      <c r="I85" s="109"/>
      <c r="J85" s="57"/>
      <c r="K85" s="58">
        <f>SUM(K77:K84)</f>
        <v>0</v>
      </c>
    </row>
    <row r="86" spans="4:11" s="88" customFormat="1" ht="12.75">
      <c r="D86" s="234"/>
      <c r="E86" s="235"/>
      <c r="F86" s="234"/>
      <c r="G86" s="237"/>
      <c r="I86" s="109"/>
      <c r="K86" s="106"/>
    </row>
    <row r="87" spans="1:11" s="88" customFormat="1" ht="18">
      <c r="A87" s="49" t="str">
        <f>Section_22</f>
        <v>F. Floor Protection</v>
      </c>
      <c r="D87" s="234"/>
      <c r="E87" s="235"/>
      <c r="F87" s="234"/>
      <c r="G87" s="237"/>
      <c r="I87" s="109"/>
      <c r="K87" s="106"/>
    </row>
    <row r="88" spans="2:11" s="88" customFormat="1" ht="12.75">
      <c r="B88" s="59"/>
      <c r="D88" s="234"/>
      <c r="E88" s="235"/>
      <c r="F88" s="234"/>
      <c r="G88" s="237"/>
      <c r="I88" s="109"/>
      <c r="K88" s="106"/>
    </row>
    <row r="89" spans="1:11" s="88" customFormat="1" ht="12.75">
      <c r="A89" s="42" t="s">
        <v>324</v>
      </c>
      <c r="C89" s="182"/>
      <c r="D89" s="238">
        <f>D91</f>
        <v>1</v>
      </c>
      <c r="E89" s="239" t="s">
        <v>377</v>
      </c>
      <c r="F89" s="274">
        <f>G97/D89</f>
        <v>32000</v>
      </c>
      <c r="G89" s="237"/>
      <c r="H89" s="111">
        <v>1</v>
      </c>
      <c r="I89" s="112" t="s">
        <v>377</v>
      </c>
      <c r="J89" s="113">
        <f>K97/H89</f>
        <v>0</v>
      </c>
      <c r="K89" s="106"/>
    </row>
    <row r="90" spans="1:11" s="88" customFormat="1" ht="12.75">
      <c r="A90" s="43"/>
      <c r="D90" s="241"/>
      <c r="E90" s="235"/>
      <c r="F90" s="234"/>
      <c r="G90" s="237"/>
      <c r="H90" s="114"/>
      <c r="I90" s="109"/>
      <c r="K90" s="106"/>
    </row>
    <row r="91" spans="1:11" s="224" customFormat="1" ht="12.75">
      <c r="A91" s="287" t="s">
        <v>141</v>
      </c>
      <c r="D91" s="242">
        <v>1</v>
      </c>
      <c r="E91" s="269" t="s">
        <v>377</v>
      </c>
      <c r="F91" s="244">
        <f>SUM(G91:G93)/D91</f>
        <v>32000</v>
      </c>
      <c r="G91" s="270"/>
      <c r="H91" s="226"/>
      <c r="I91" s="231"/>
      <c r="J91" s="228"/>
      <c r="K91" s="232"/>
    </row>
    <row r="92" spans="1:11" s="225" customFormat="1" ht="12.75" customHeight="1">
      <c r="A92" s="288" t="s">
        <v>63</v>
      </c>
      <c r="B92" s="210"/>
      <c r="C92" s="211"/>
      <c r="D92" s="246">
        <v>1</v>
      </c>
      <c r="E92" s="247" t="s">
        <v>377</v>
      </c>
      <c r="F92" s="248">
        <v>117000</v>
      </c>
      <c r="G92" s="270">
        <v>32000</v>
      </c>
      <c r="H92" s="212"/>
      <c r="I92" s="213"/>
      <c r="J92" s="214"/>
      <c r="K92" s="215"/>
    </row>
    <row r="93" spans="1:11" s="224" customFormat="1" ht="12.75">
      <c r="A93" s="230"/>
      <c r="D93" s="246"/>
      <c r="E93" s="247"/>
      <c r="F93" s="248"/>
      <c r="G93" s="271"/>
      <c r="H93" s="212"/>
      <c r="I93" s="213"/>
      <c r="J93" s="214"/>
      <c r="K93" s="233"/>
    </row>
    <row r="94" spans="1:11" s="88" customFormat="1" ht="12.75">
      <c r="A94" s="95" t="s">
        <v>376</v>
      </c>
      <c r="D94" s="250"/>
      <c r="E94" s="272"/>
      <c r="F94" s="240"/>
      <c r="G94" s="237"/>
      <c r="H94" s="44">
        <v>1</v>
      </c>
      <c r="I94" s="45" t="s">
        <v>377</v>
      </c>
      <c r="J94" s="46">
        <f>SUM(K94:K96)/H94</f>
        <v>0</v>
      </c>
      <c r="K94" s="106"/>
    </row>
    <row r="95" spans="1:11" s="88" customFormat="1" ht="24.75" customHeight="1">
      <c r="A95" s="453" t="s">
        <v>68</v>
      </c>
      <c r="B95" s="453"/>
      <c r="C95" s="453"/>
      <c r="D95" s="253"/>
      <c r="E95" s="254"/>
      <c r="F95" s="255"/>
      <c r="G95" s="273"/>
      <c r="H95" s="100">
        <v>0</v>
      </c>
      <c r="I95" s="101" t="s">
        <v>377</v>
      </c>
      <c r="J95" s="102">
        <v>0</v>
      </c>
      <c r="K95" s="107">
        <f>H95*J95</f>
        <v>0</v>
      </c>
    </row>
    <row r="96" spans="4:11" s="88" customFormat="1" ht="13.5" thickBot="1">
      <c r="D96" s="261"/>
      <c r="E96" s="235"/>
      <c r="F96" s="234"/>
      <c r="G96" s="262"/>
      <c r="H96" s="108"/>
      <c r="I96" s="109"/>
      <c r="K96" s="110"/>
    </row>
    <row r="97" spans="4:11" s="88" customFormat="1" ht="12.75">
      <c r="D97" s="234"/>
      <c r="E97" s="235"/>
      <c r="F97" s="263" t="str">
        <f>A87</f>
        <v>F. Floor Protection</v>
      </c>
      <c r="G97" s="264">
        <f>SUM(G89:G93)</f>
        <v>32000</v>
      </c>
      <c r="I97" s="109"/>
      <c r="J97" s="57"/>
      <c r="K97" s="58">
        <f>SUM(K89:K96)</f>
        <v>0</v>
      </c>
    </row>
    <row r="98" spans="4:11" s="88" customFormat="1" ht="12.75">
      <c r="D98" s="234"/>
      <c r="E98" s="235"/>
      <c r="F98" s="234"/>
      <c r="G98" s="237"/>
      <c r="I98" s="109"/>
      <c r="K98" s="106"/>
    </row>
    <row r="99" spans="1:11" s="88" customFormat="1" ht="18">
      <c r="A99" s="49" t="str">
        <f>Section_23</f>
        <v>G. Stanchions, Signs</v>
      </c>
      <c r="D99" s="234"/>
      <c r="E99" s="235"/>
      <c r="F99" s="234"/>
      <c r="G99" s="237"/>
      <c r="I99" s="109"/>
      <c r="K99" s="106"/>
    </row>
    <row r="100" spans="2:11" s="88" customFormat="1" ht="12.75">
      <c r="B100" s="59"/>
      <c r="D100" s="234"/>
      <c r="E100" s="235"/>
      <c r="F100" s="234"/>
      <c r="G100" s="237"/>
      <c r="I100" s="109"/>
      <c r="K100" s="106"/>
    </row>
    <row r="101" spans="1:11" s="88" customFormat="1" ht="12.75">
      <c r="A101" s="42" t="s">
        <v>324</v>
      </c>
      <c r="C101" s="182"/>
      <c r="D101" s="238">
        <f>D103</f>
        <v>1</v>
      </c>
      <c r="E101" s="272" t="s">
        <v>377</v>
      </c>
      <c r="F101" s="238">
        <f>G115/D101</f>
        <v>8000</v>
      </c>
      <c r="G101" s="237"/>
      <c r="H101" s="44">
        <v>1</v>
      </c>
      <c r="I101" s="45" t="s">
        <v>150</v>
      </c>
      <c r="J101" s="113">
        <f>K115/H101</f>
        <v>70</v>
      </c>
      <c r="K101" s="106"/>
    </row>
    <row r="102" spans="1:11" s="88" customFormat="1" ht="12.75">
      <c r="A102" s="43"/>
      <c r="D102" s="241"/>
      <c r="E102" s="235"/>
      <c r="F102" s="234"/>
      <c r="G102" s="237"/>
      <c r="H102" s="114"/>
      <c r="I102" s="109"/>
      <c r="K102" s="106"/>
    </row>
    <row r="103" spans="1:11" s="224" customFormat="1" ht="12.75">
      <c r="A103" s="287" t="s">
        <v>142</v>
      </c>
      <c r="D103" s="242">
        <v>1</v>
      </c>
      <c r="E103" s="269" t="s">
        <v>377</v>
      </c>
      <c r="F103" s="267">
        <f>SUM(G103:G104)/D103</f>
        <v>8000</v>
      </c>
      <c r="G103" s="270">
        <v>8000</v>
      </c>
      <c r="H103" s="226"/>
      <c r="I103" s="231"/>
      <c r="J103" s="276"/>
      <c r="K103" s="232"/>
    </row>
    <row r="104" spans="1:11" s="225" customFormat="1" ht="12.75" customHeight="1">
      <c r="A104" s="288" t="s">
        <v>63</v>
      </c>
      <c r="B104" s="210"/>
      <c r="C104" s="211"/>
      <c r="D104" s="246">
        <v>1</v>
      </c>
      <c r="E104" s="247" t="s">
        <v>377</v>
      </c>
      <c r="F104" s="248">
        <v>117000</v>
      </c>
      <c r="G104" s="249"/>
      <c r="H104" s="212"/>
      <c r="I104" s="213"/>
      <c r="J104" s="214"/>
      <c r="K104" s="215"/>
    </row>
    <row r="105" spans="1:11" s="224" customFormat="1" ht="12.75">
      <c r="A105" s="230"/>
      <c r="D105" s="246"/>
      <c r="E105" s="247"/>
      <c r="F105" s="248"/>
      <c r="G105" s="271"/>
      <c r="H105" s="212"/>
      <c r="I105" s="213"/>
      <c r="J105" s="214"/>
      <c r="K105" s="233"/>
    </row>
    <row r="106" spans="1:11" s="88" customFormat="1" ht="12.75">
      <c r="A106" s="95" t="str">
        <f>A103</f>
        <v>Stanchions, Signs</v>
      </c>
      <c r="D106" s="250"/>
      <c r="E106" s="272"/>
      <c r="F106" s="274"/>
      <c r="G106" s="237"/>
      <c r="H106" s="44">
        <f>H101</f>
        <v>1</v>
      </c>
      <c r="I106" s="45" t="s">
        <v>150</v>
      </c>
      <c r="J106" s="113">
        <f>SUM(K106:K114)/H106</f>
        <v>70</v>
      </c>
      <c r="K106" s="106"/>
    </row>
    <row r="107" spans="1:11" s="88" customFormat="1" ht="39" customHeight="1">
      <c r="A107" s="453" t="s">
        <v>69</v>
      </c>
      <c r="B107" s="453" t="s">
        <v>69</v>
      </c>
      <c r="C107" s="453" t="s">
        <v>69</v>
      </c>
      <c r="D107" s="253"/>
      <c r="E107" s="254"/>
      <c r="F107" s="255"/>
      <c r="G107" s="256"/>
      <c r="H107" s="100">
        <v>1</v>
      </c>
      <c r="I107" s="101" t="s">
        <v>150</v>
      </c>
      <c r="J107" s="102">
        <v>10</v>
      </c>
      <c r="K107" s="103">
        <f>H107*J107</f>
        <v>10</v>
      </c>
    </row>
    <row r="108" spans="1:11" s="88" customFormat="1" ht="60.75" customHeight="1">
      <c r="A108" s="453" t="s">
        <v>253</v>
      </c>
      <c r="B108" s="453" t="s">
        <v>253</v>
      </c>
      <c r="C108" s="453" t="s">
        <v>253</v>
      </c>
      <c r="D108" s="253"/>
      <c r="E108" s="254"/>
      <c r="F108" s="255"/>
      <c r="G108" s="256"/>
      <c r="H108" s="100">
        <v>1</v>
      </c>
      <c r="I108" s="101" t="s">
        <v>150</v>
      </c>
      <c r="J108" s="102">
        <v>10</v>
      </c>
      <c r="K108" s="103">
        <f aca="true" t="shared" si="1" ref="K108:K113">H108*J108</f>
        <v>10</v>
      </c>
    </row>
    <row r="109" spans="1:11" s="88" customFormat="1" ht="61.5" customHeight="1">
      <c r="A109" s="453" t="s">
        <v>254</v>
      </c>
      <c r="B109" s="453" t="s">
        <v>254</v>
      </c>
      <c r="C109" s="453" t="s">
        <v>254</v>
      </c>
      <c r="D109" s="253"/>
      <c r="E109" s="254"/>
      <c r="F109" s="255"/>
      <c r="G109" s="256"/>
      <c r="H109" s="100">
        <v>1</v>
      </c>
      <c r="I109" s="101" t="s">
        <v>150</v>
      </c>
      <c r="J109" s="102">
        <v>10</v>
      </c>
      <c r="K109" s="103">
        <f t="shared" si="1"/>
        <v>10</v>
      </c>
    </row>
    <row r="110" spans="1:11" s="88" customFormat="1" ht="32.25" customHeight="1">
      <c r="A110" s="453" t="s">
        <v>255</v>
      </c>
      <c r="B110" s="453" t="s">
        <v>255</v>
      </c>
      <c r="C110" s="453" t="s">
        <v>255</v>
      </c>
      <c r="D110" s="253"/>
      <c r="E110" s="254"/>
      <c r="F110" s="255"/>
      <c r="G110" s="273"/>
      <c r="H110" s="100">
        <v>1</v>
      </c>
      <c r="I110" s="101" t="s">
        <v>150</v>
      </c>
      <c r="J110" s="102">
        <v>10</v>
      </c>
      <c r="K110" s="103">
        <f t="shared" si="1"/>
        <v>10</v>
      </c>
    </row>
    <row r="111" spans="1:11" s="88" customFormat="1" ht="51.75" customHeight="1">
      <c r="A111" s="453" t="s">
        <v>256</v>
      </c>
      <c r="B111" s="453" t="s">
        <v>256</v>
      </c>
      <c r="C111" s="453" t="s">
        <v>256</v>
      </c>
      <c r="D111" s="253"/>
      <c r="E111" s="254"/>
      <c r="F111" s="255"/>
      <c r="G111" s="273"/>
      <c r="H111" s="100">
        <v>1</v>
      </c>
      <c r="I111" s="101" t="s">
        <v>150</v>
      </c>
      <c r="J111" s="102">
        <v>10</v>
      </c>
      <c r="K111" s="103">
        <f t="shared" si="1"/>
        <v>10</v>
      </c>
    </row>
    <row r="112" spans="1:11" s="88" customFormat="1" ht="39" customHeight="1">
      <c r="A112" s="453" t="s">
        <v>257</v>
      </c>
      <c r="B112" s="453" t="s">
        <v>257</v>
      </c>
      <c r="C112" s="453" t="s">
        <v>257</v>
      </c>
      <c r="D112" s="253"/>
      <c r="E112" s="254"/>
      <c r="F112" s="255"/>
      <c r="G112" s="273"/>
      <c r="H112" s="100">
        <v>1</v>
      </c>
      <c r="I112" s="101" t="s">
        <v>150</v>
      </c>
      <c r="J112" s="102">
        <v>10</v>
      </c>
      <c r="K112" s="103">
        <f t="shared" si="1"/>
        <v>10</v>
      </c>
    </row>
    <row r="113" spans="1:11" s="88" customFormat="1" ht="24.75" customHeight="1">
      <c r="A113" s="453" t="s">
        <v>258</v>
      </c>
      <c r="B113" s="453" t="s">
        <v>258</v>
      </c>
      <c r="C113" s="453" t="s">
        <v>258</v>
      </c>
      <c r="D113" s="253"/>
      <c r="E113" s="254"/>
      <c r="F113" s="255"/>
      <c r="G113" s="273"/>
      <c r="H113" s="100">
        <v>1</v>
      </c>
      <c r="I113" s="101" t="s">
        <v>150</v>
      </c>
      <c r="J113" s="102">
        <v>10</v>
      </c>
      <c r="K113" s="103">
        <f t="shared" si="1"/>
        <v>10</v>
      </c>
    </row>
    <row r="114" spans="4:11" s="88" customFormat="1" ht="13.5" thickBot="1">
      <c r="D114" s="261"/>
      <c r="E114" s="235"/>
      <c r="F114" s="234"/>
      <c r="G114" s="262"/>
      <c r="H114" s="108"/>
      <c r="I114" s="109"/>
      <c r="K114" s="110"/>
    </row>
    <row r="115" spans="4:11" s="88" customFormat="1" ht="12.75">
      <c r="D115" s="234"/>
      <c r="E115" s="235"/>
      <c r="F115" s="263" t="str">
        <f>A99</f>
        <v>G. Stanchions, Signs</v>
      </c>
      <c r="G115" s="264">
        <f>SUM(G101:G105)</f>
        <v>8000</v>
      </c>
      <c r="I115" s="109"/>
      <c r="J115" s="57"/>
      <c r="K115" s="58">
        <f>SUM(K101:K114)</f>
        <v>70</v>
      </c>
    </row>
    <row r="116" spans="4:11" s="88" customFormat="1" ht="12.75">
      <c r="D116" s="234"/>
      <c r="E116" s="235"/>
      <c r="F116" s="234"/>
      <c r="G116" s="237"/>
      <c r="I116" s="109"/>
      <c r="K116" s="106"/>
    </row>
    <row r="117" spans="1:7" ht="18">
      <c r="A117" s="49" t="str">
        <f>Section_24</f>
        <v>H. Kitchen Refrigerators</v>
      </c>
      <c r="D117" s="234"/>
      <c r="E117" s="235"/>
      <c r="F117" s="234"/>
      <c r="G117" s="237"/>
    </row>
    <row r="118" spans="2:7" ht="12.75">
      <c r="B118" s="41"/>
      <c r="D118" s="234"/>
      <c r="E118" s="235"/>
      <c r="F118" s="234"/>
      <c r="G118" s="237"/>
    </row>
    <row r="119" spans="1:11" ht="12.75">
      <c r="A119" s="42" t="s">
        <v>324</v>
      </c>
      <c r="C119" s="182"/>
      <c r="D119" s="238">
        <v>1</v>
      </c>
      <c r="E119" s="239" t="s">
        <v>377</v>
      </c>
      <c r="F119" s="240">
        <f>G130/D119</f>
        <v>130000</v>
      </c>
      <c r="G119" s="237"/>
      <c r="H119" s="111">
        <f>10.25*19.5</f>
        <v>199.875</v>
      </c>
      <c r="I119" s="112" t="s">
        <v>123</v>
      </c>
      <c r="J119" s="46">
        <f>K130/H119</f>
        <v>0.20012507817385866</v>
      </c>
      <c r="K119" s="106"/>
    </row>
    <row r="120" spans="1:8" ht="12.75">
      <c r="A120" s="43"/>
      <c r="D120" s="241"/>
      <c r="E120" s="235"/>
      <c r="F120" s="234"/>
      <c r="G120" s="237"/>
      <c r="H120" s="94"/>
    </row>
    <row r="121" spans="1:11" s="224" customFormat="1" ht="12.75">
      <c r="A121" s="287" t="s">
        <v>480</v>
      </c>
      <c r="D121" s="242">
        <v>1</v>
      </c>
      <c r="E121" s="269" t="s">
        <v>377</v>
      </c>
      <c r="F121" s="267">
        <f>SUM(G121:G122)/D121</f>
        <v>130000</v>
      </c>
      <c r="G121" s="270">
        <v>130000</v>
      </c>
      <c r="H121" s="226"/>
      <c r="I121" s="231"/>
      <c r="J121" s="276"/>
      <c r="K121" s="232"/>
    </row>
    <row r="122" spans="1:11" s="225" customFormat="1" ht="12.75" customHeight="1">
      <c r="A122" s="288" t="s">
        <v>63</v>
      </c>
      <c r="B122" s="210"/>
      <c r="C122" s="211"/>
      <c r="D122" s="246">
        <v>1</v>
      </c>
      <c r="E122" s="247" t="s">
        <v>377</v>
      </c>
      <c r="F122" s="248">
        <v>117000</v>
      </c>
      <c r="G122" s="249"/>
      <c r="H122" s="212"/>
      <c r="I122" s="213"/>
      <c r="J122" s="214"/>
      <c r="K122" s="215"/>
    </row>
    <row r="123" spans="1:11" s="225" customFormat="1" ht="12.75">
      <c r="A123" s="230"/>
      <c r="B123" s="224"/>
      <c r="D123" s="242"/>
      <c r="E123" s="269"/>
      <c r="F123" s="244"/>
      <c r="G123" s="245"/>
      <c r="H123" s="226"/>
      <c r="I123" s="231"/>
      <c r="J123" s="228"/>
      <c r="K123" s="229"/>
    </row>
    <row r="124" spans="1:11" ht="12.75">
      <c r="A124" s="95" t="str">
        <f>A121</f>
        <v>Refrigerators</v>
      </c>
      <c r="B124" s="88"/>
      <c r="D124" s="250"/>
      <c r="E124" s="251"/>
      <c r="F124" s="240"/>
      <c r="G124" s="252"/>
      <c r="H124" s="44">
        <f>H119</f>
        <v>199.875</v>
      </c>
      <c r="I124" s="56" t="s">
        <v>123</v>
      </c>
      <c r="J124" s="46">
        <f>SUM(K124:K129)/H124</f>
        <v>0.20012507817385866</v>
      </c>
      <c r="K124" s="96"/>
    </row>
    <row r="125" spans="1:11" ht="32.25" customHeight="1">
      <c r="A125" s="453" t="s">
        <v>259</v>
      </c>
      <c r="B125" s="453" t="s">
        <v>259</v>
      </c>
      <c r="C125" s="453" t="s">
        <v>259</v>
      </c>
      <c r="D125" s="253"/>
      <c r="E125" s="254"/>
      <c r="F125" s="255"/>
      <c r="G125" s="256"/>
      <c r="H125" s="100">
        <v>1</v>
      </c>
      <c r="I125" s="101" t="s">
        <v>150</v>
      </c>
      <c r="J125" s="102">
        <v>10</v>
      </c>
      <c r="K125" s="103">
        <f>H125*J125</f>
        <v>10</v>
      </c>
    </row>
    <row r="126" spans="1:11" ht="33" customHeight="1">
      <c r="A126" s="453" t="s">
        <v>260</v>
      </c>
      <c r="B126" s="453" t="s">
        <v>260</v>
      </c>
      <c r="C126" s="453" t="s">
        <v>260</v>
      </c>
      <c r="D126" s="253"/>
      <c r="E126" s="254"/>
      <c r="F126" s="255"/>
      <c r="G126" s="256"/>
      <c r="H126" s="100">
        <v>1</v>
      </c>
      <c r="I126" s="101" t="s">
        <v>150</v>
      </c>
      <c r="J126" s="102">
        <v>10</v>
      </c>
      <c r="K126" s="103">
        <f>H126*J126</f>
        <v>10</v>
      </c>
    </row>
    <row r="127" spans="1:11" ht="96" customHeight="1">
      <c r="A127" s="453" t="s">
        <v>261</v>
      </c>
      <c r="B127" s="453" t="s">
        <v>261</v>
      </c>
      <c r="C127" s="453" t="s">
        <v>261</v>
      </c>
      <c r="D127" s="253"/>
      <c r="E127" s="254"/>
      <c r="F127" s="255"/>
      <c r="G127" s="256"/>
      <c r="H127" s="100">
        <v>1</v>
      </c>
      <c r="I127" s="101" t="s">
        <v>150</v>
      </c>
      <c r="J127" s="102">
        <v>10</v>
      </c>
      <c r="K127" s="103">
        <f>H127*J127</f>
        <v>10</v>
      </c>
    </row>
    <row r="128" spans="1:11" ht="35.25" customHeight="1">
      <c r="A128" s="453" t="s">
        <v>262</v>
      </c>
      <c r="B128" s="453" t="s">
        <v>262</v>
      </c>
      <c r="C128" s="453" t="s">
        <v>262</v>
      </c>
      <c r="D128" s="253"/>
      <c r="E128" s="254"/>
      <c r="F128" s="255"/>
      <c r="G128" s="256"/>
      <c r="H128" s="100">
        <v>1</v>
      </c>
      <c r="I128" s="101" t="s">
        <v>150</v>
      </c>
      <c r="J128" s="102">
        <v>10</v>
      </c>
      <c r="K128" s="103">
        <f>H128*J128</f>
        <v>10</v>
      </c>
    </row>
    <row r="129" spans="3:11" s="88" customFormat="1" ht="12.75" customHeight="1" thickBot="1">
      <c r="C129" s="67"/>
      <c r="D129" s="261"/>
      <c r="E129" s="235"/>
      <c r="F129" s="234"/>
      <c r="G129" s="262"/>
      <c r="H129" s="104"/>
      <c r="I129" s="89"/>
      <c r="J129" s="67"/>
      <c r="K129" s="80"/>
    </row>
    <row r="130" spans="4:11" ht="12.75">
      <c r="D130" s="234"/>
      <c r="E130" s="235"/>
      <c r="F130" s="263" t="str">
        <f>A117</f>
        <v>H. Kitchen Refrigerators</v>
      </c>
      <c r="G130" s="264">
        <f>SUM(G119:G123)</f>
        <v>130000</v>
      </c>
      <c r="J130" s="47"/>
      <c r="K130" s="48">
        <f>SUM(K119:K129)</f>
        <v>40</v>
      </c>
    </row>
    <row r="131" spans="4:11" ht="12.75">
      <c r="D131" s="234"/>
      <c r="E131" s="235"/>
      <c r="F131" s="263"/>
      <c r="G131" s="268"/>
      <c r="J131" s="47"/>
      <c r="K131" s="48"/>
    </row>
    <row r="132" spans="1:7" ht="18">
      <c r="A132" s="49" t="str">
        <f>Section_25</f>
        <v>I. Restroom for Tents</v>
      </c>
      <c r="D132" s="234"/>
      <c r="E132" s="235"/>
      <c r="F132" s="234"/>
      <c r="G132" s="237"/>
    </row>
    <row r="133" spans="2:7" ht="12.75">
      <c r="B133" s="41"/>
      <c r="D133" s="234"/>
      <c r="E133" s="235"/>
      <c r="F133" s="234"/>
      <c r="G133" s="237"/>
    </row>
    <row r="134" spans="1:10" ht="12.75">
      <c r="A134" s="42" t="s">
        <v>324</v>
      </c>
      <c r="D134" s="238">
        <f>10.25*19.5</f>
        <v>199.875</v>
      </c>
      <c r="E134" s="239" t="s">
        <v>123</v>
      </c>
      <c r="F134" s="240">
        <f>G144/D134</f>
        <v>2426.5165728580364</v>
      </c>
      <c r="G134" s="237"/>
      <c r="H134" s="92">
        <f>10.25*19.5</f>
        <v>199.875</v>
      </c>
      <c r="I134" s="93" t="s">
        <v>123</v>
      </c>
      <c r="J134" s="46">
        <f>K144/H134</f>
        <v>8.005003126954346</v>
      </c>
    </row>
    <row r="135" spans="1:8" ht="12.75">
      <c r="A135" s="43"/>
      <c r="D135" s="241"/>
      <c r="E135" s="235"/>
      <c r="F135" s="234"/>
      <c r="G135" s="237"/>
      <c r="H135" s="94"/>
    </row>
    <row r="136" spans="1:11" s="225" customFormat="1" ht="12.75">
      <c r="A136" s="287" t="s">
        <v>481</v>
      </c>
      <c r="B136" s="224"/>
      <c r="D136" s="242">
        <f>D134</f>
        <v>199.875</v>
      </c>
      <c r="E136" s="243" t="str">
        <f>E134</f>
        <v>SF</v>
      </c>
      <c r="F136" s="244">
        <f>SUM(G136:G139)/D136</f>
        <v>2426.5165728580364</v>
      </c>
      <c r="G136" s="270">
        <v>485000</v>
      </c>
      <c r="H136" s="226"/>
      <c r="I136" s="227"/>
      <c r="J136" s="228"/>
      <c r="K136" s="229"/>
    </row>
    <row r="137" spans="1:11" s="225" customFormat="1" ht="12.75" customHeight="1">
      <c r="A137" s="288" t="s">
        <v>63</v>
      </c>
      <c r="B137" s="210"/>
      <c r="C137" s="211"/>
      <c r="D137" s="246">
        <v>1</v>
      </c>
      <c r="E137" s="247" t="s">
        <v>377</v>
      </c>
      <c r="F137" s="248">
        <v>117000</v>
      </c>
      <c r="G137" s="249"/>
      <c r="H137" s="212"/>
      <c r="I137" s="213"/>
      <c r="J137" s="214"/>
      <c r="K137" s="215"/>
    </row>
    <row r="138" spans="1:11" s="225" customFormat="1" ht="12.75">
      <c r="A138" s="209"/>
      <c r="B138" s="210"/>
      <c r="C138" s="211"/>
      <c r="D138" s="246"/>
      <c r="E138" s="247"/>
      <c r="F138" s="248"/>
      <c r="G138" s="249"/>
      <c r="H138" s="212"/>
      <c r="I138" s="213"/>
      <c r="J138" s="214"/>
      <c r="K138" s="215"/>
    </row>
    <row r="139" spans="1:11" s="225" customFormat="1" ht="12.75">
      <c r="A139" s="209"/>
      <c r="B139" s="210"/>
      <c r="C139" s="211"/>
      <c r="D139" s="246"/>
      <c r="E139" s="247"/>
      <c r="F139" s="248"/>
      <c r="G139" s="249"/>
      <c r="H139" s="212"/>
      <c r="I139" s="213"/>
      <c r="J139" s="214"/>
      <c r="K139" s="215"/>
    </row>
    <row r="140" spans="1:11" ht="12.75">
      <c r="A140" s="95" t="str">
        <f>A136</f>
        <v>Tent Restroom</v>
      </c>
      <c r="B140" s="88"/>
      <c r="D140" s="250"/>
      <c r="E140" s="251"/>
      <c r="F140" s="240"/>
      <c r="G140" s="252"/>
      <c r="H140" s="44">
        <f>H134</f>
        <v>199.875</v>
      </c>
      <c r="I140" s="93" t="s">
        <v>123</v>
      </c>
      <c r="J140" s="46">
        <f>SUM(K140:K143)/H140</f>
        <v>8.005003126954346</v>
      </c>
      <c r="K140" s="96"/>
    </row>
    <row r="141" spans="1:11" ht="12.75">
      <c r="A141" s="105"/>
      <c r="B141" s="98"/>
      <c r="C141" s="99"/>
      <c r="D141" s="253"/>
      <c r="E141" s="254"/>
      <c r="F141" s="255"/>
      <c r="G141" s="256"/>
      <c r="H141" s="100">
        <v>2</v>
      </c>
      <c r="I141" s="101" t="s">
        <v>150</v>
      </c>
      <c r="J141" s="102">
        <v>525</v>
      </c>
      <c r="K141" s="103">
        <f>H141*J141</f>
        <v>1050</v>
      </c>
    </row>
    <row r="142" spans="1:11" ht="12.75">
      <c r="A142" s="105"/>
      <c r="B142" s="98"/>
      <c r="C142" s="99"/>
      <c r="D142" s="253"/>
      <c r="E142" s="254"/>
      <c r="F142" s="255"/>
      <c r="G142" s="256"/>
      <c r="H142" s="100">
        <v>1</v>
      </c>
      <c r="I142" s="101" t="s">
        <v>150</v>
      </c>
      <c r="J142" s="102">
        <v>550</v>
      </c>
      <c r="K142" s="103">
        <f>H142*J142</f>
        <v>550</v>
      </c>
    </row>
    <row r="143" spans="3:11" s="88" customFormat="1" ht="12.75" customHeight="1" thickBot="1">
      <c r="C143" s="67"/>
      <c r="D143" s="261"/>
      <c r="E143" s="235"/>
      <c r="F143" s="234"/>
      <c r="G143" s="262"/>
      <c r="H143" s="104"/>
      <c r="I143" s="89"/>
      <c r="J143" s="67"/>
      <c r="K143" s="80"/>
    </row>
    <row r="144" spans="4:11" ht="12.75">
      <c r="D144" s="234"/>
      <c r="E144" s="235"/>
      <c r="F144" s="263" t="str">
        <f>A132</f>
        <v>I. Restroom for Tents</v>
      </c>
      <c r="G144" s="264">
        <f>SUM(G134:G139)</f>
        <v>485000</v>
      </c>
      <c r="J144" s="47"/>
      <c r="K144" s="48">
        <f>SUM(K134:K143)</f>
        <v>1600</v>
      </c>
    </row>
    <row r="145" spans="4:7" ht="12.75">
      <c r="D145" s="234"/>
      <c r="E145" s="235"/>
      <c r="F145" s="234"/>
      <c r="G145" s="237"/>
    </row>
    <row r="146" spans="4:11" s="88" customFormat="1" ht="12.75">
      <c r="D146" s="234"/>
      <c r="E146" s="235"/>
      <c r="F146" s="234"/>
      <c r="G146" s="237"/>
      <c r="I146" s="109"/>
      <c r="K146" s="106"/>
    </row>
    <row r="147" spans="1:7" ht="18">
      <c r="A147" s="49" t="str">
        <f>Section_26</f>
        <v>J. Kitchen for Tents</v>
      </c>
      <c r="D147" s="234"/>
      <c r="E147" s="235"/>
      <c r="F147" s="234"/>
      <c r="G147" s="237"/>
    </row>
    <row r="148" spans="2:7" ht="12.75">
      <c r="B148" s="41"/>
      <c r="D148" s="234"/>
      <c r="E148" s="235"/>
      <c r="F148" s="234"/>
      <c r="G148" s="237"/>
    </row>
    <row r="149" spans="1:10" ht="12.75">
      <c r="A149" s="42" t="s">
        <v>324</v>
      </c>
      <c r="C149" s="182"/>
      <c r="D149" s="238">
        <f>10.25*19.5</f>
        <v>199.875</v>
      </c>
      <c r="E149" s="239" t="s">
        <v>123</v>
      </c>
      <c r="F149" s="240">
        <f>G157/D149</f>
        <v>1295.8098811757347</v>
      </c>
      <c r="G149" s="237"/>
      <c r="H149" s="92">
        <f>10.25*19.5</f>
        <v>199.875</v>
      </c>
      <c r="I149" s="93" t="s">
        <v>123</v>
      </c>
      <c r="J149" s="46">
        <f>K157/H149</f>
        <v>0</v>
      </c>
    </row>
    <row r="150" spans="1:8" ht="12.75">
      <c r="A150" s="43"/>
      <c r="D150" s="241"/>
      <c r="E150" s="235"/>
      <c r="F150" s="234"/>
      <c r="G150" s="237"/>
      <c r="H150" s="94"/>
    </row>
    <row r="151" spans="1:8" ht="12.75">
      <c r="A151" s="287" t="s">
        <v>482</v>
      </c>
      <c r="B151" s="224"/>
      <c r="C151" s="225"/>
      <c r="D151" s="241"/>
      <c r="E151" s="235"/>
      <c r="F151" s="234"/>
      <c r="G151" s="270">
        <v>259000</v>
      </c>
      <c r="H151" s="94"/>
    </row>
    <row r="152" spans="1:8" ht="12.75">
      <c r="A152" s="302" t="s">
        <v>63</v>
      </c>
      <c r="B152" s="210"/>
      <c r="C152" s="211"/>
      <c r="D152" s="241"/>
      <c r="E152" s="235"/>
      <c r="F152" s="234"/>
      <c r="G152" s="270"/>
      <c r="H152" s="94"/>
    </row>
    <row r="153" spans="1:8" ht="12.75">
      <c r="A153" s="209"/>
      <c r="B153" s="210"/>
      <c r="C153" s="211"/>
      <c r="D153" s="241"/>
      <c r="E153" s="235"/>
      <c r="F153" s="234"/>
      <c r="G153" s="237"/>
      <c r="H153" s="94"/>
    </row>
    <row r="154" spans="1:8" ht="12.75">
      <c r="A154" s="95" t="str">
        <f>A151</f>
        <v>Tent Kitchen</v>
      </c>
      <c r="B154" s="88"/>
      <c r="D154" s="241"/>
      <c r="E154" s="235"/>
      <c r="F154" s="234"/>
      <c r="G154" s="237"/>
      <c r="H154" s="94"/>
    </row>
    <row r="155" spans="1:8" ht="105" customHeight="1">
      <c r="A155" s="445" t="s">
        <v>56</v>
      </c>
      <c r="B155" s="445"/>
      <c r="C155" s="445"/>
      <c r="D155" s="241"/>
      <c r="E155" s="235"/>
      <c r="F155" s="234"/>
      <c r="G155" s="237"/>
      <c r="H155" s="94"/>
    </row>
    <row r="156" spans="3:11" s="88" customFormat="1" ht="12.75" customHeight="1" thickBot="1">
      <c r="C156" s="67"/>
      <c r="D156" s="261"/>
      <c r="E156" s="235"/>
      <c r="F156" s="234"/>
      <c r="G156" s="262"/>
      <c r="H156" s="104"/>
      <c r="I156" s="89"/>
      <c r="J156" s="67"/>
      <c r="K156" s="80"/>
    </row>
    <row r="157" spans="4:11" ht="12.75">
      <c r="D157" s="234"/>
      <c r="E157" s="235"/>
      <c r="F157" s="263" t="str">
        <f>A147</f>
        <v>J. Kitchen for Tents</v>
      </c>
      <c r="G157" s="264">
        <f>SUM(G149:G155)</f>
        <v>259000</v>
      </c>
      <c r="J157" s="47"/>
      <c r="K157" s="48">
        <f>SUM(K149:K156)</f>
        <v>0</v>
      </c>
    </row>
    <row r="158" spans="4:11" s="88" customFormat="1" ht="12.75">
      <c r="D158" s="234"/>
      <c r="E158" s="235"/>
      <c r="F158" s="234"/>
      <c r="G158" s="237"/>
      <c r="I158" s="109"/>
      <c r="K158" s="106"/>
    </row>
    <row r="159" spans="1:7" ht="18">
      <c r="A159" s="49" t="str">
        <f>Section_27</f>
        <v>K. Kitchen Upgrades</v>
      </c>
      <c r="D159" s="234"/>
      <c r="E159" s="235"/>
      <c r="F159" s="234"/>
      <c r="G159" s="237"/>
    </row>
    <row r="160" spans="2:7" ht="12.75">
      <c r="B160" s="41"/>
      <c r="D160" s="234"/>
      <c r="E160" s="235"/>
      <c r="F160" s="234"/>
      <c r="G160" s="237"/>
    </row>
    <row r="161" spans="1:10" ht="12.75">
      <c r="A161" s="42" t="s">
        <v>324</v>
      </c>
      <c r="C161" s="182"/>
      <c r="D161" s="238">
        <v>1</v>
      </c>
      <c r="E161" s="239" t="s">
        <v>150</v>
      </c>
      <c r="F161" s="265">
        <f>G171/D161</f>
        <v>840000</v>
      </c>
      <c r="G161" s="237"/>
      <c r="H161" s="92">
        <v>1</v>
      </c>
      <c r="I161" s="93" t="s">
        <v>150</v>
      </c>
      <c r="J161" s="181">
        <f>K171/H161</f>
        <v>2250</v>
      </c>
    </row>
    <row r="162" spans="1:8" ht="12.75">
      <c r="A162" s="43"/>
      <c r="D162" s="241"/>
      <c r="E162" s="235"/>
      <c r="F162" s="234"/>
      <c r="G162" s="237"/>
      <c r="H162" s="94"/>
    </row>
    <row r="163" spans="1:11" s="225" customFormat="1" ht="12.75">
      <c r="A163" s="223" t="s">
        <v>483</v>
      </c>
      <c r="B163" s="224"/>
      <c r="D163" s="242">
        <f>D161</f>
        <v>1</v>
      </c>
      <c r="E163" s="243" t="str">
        <f>E161</f>
        <v>EA</v>
      </c>
      <c r="F163" s="244">
        <f>SUM(G163:G166)/D163</f>
        <v>840000</v>
      </c>
      <c r="G163" s="270">
        <v>840000</v>
      </c>
      <c r="H163" s="226"/>
      <c r="I163" s="227"/>
      <c r="J163" s="228"/>
      <c r="K163" s="229"/>
    </row>
    <row r="164" spans="1:11" s="225" customFormat="1" ht="12.75">
      <c r="A164" s="209" t="s">
        <v>63</v>
      </c>
      <c r="B164" s="210"/>
      <c r="C164" s="211"/>
      <c r="D164" s="246">
        <v>-1</v>
      </c>
      <c r="E164" s="247" t="s">
        <v>150</v>
      </c>
      <c r="F164" s="248"/>
      <c r="G164" s="249"/>
      <c r="H164" s="212"/>
      <c r="I164" s="213"/>
      <c r="J164" s="214"/>
      <c r="K164" s="215"/>
    </row>
    <row r="165" spans="1:11" s="225" customFormat="1" ht="12.75">
      <c r="A165" s="209"/>
      <c r="B165" s="210"/>
      <c r="C165" s="211"/>
      <c r="D165" s="246">
        <v>1</v>
      </c>
      <c r="E165" s="247" t="s">
        <v>150</v>
      </c>
      <c r="F165" s="248">
        <v>2250</v>
      </c>
      <c r="G165" s="249"/>
      <c r="H165" s="212"/>
      <c r="I165" s="213"/>
      <c r="J165" s="214"/>
      <c r="K165" s="215"/>
    </row>
    <row r="166" spans="1:11" s="225" customFormat="1" ht="12.75">
      <c r="A166" s="209"/>
      <c r="B166" s="210"/>
      <c r="C166" s="211"/>
      <c r="D166" s="246"/>
      <c r="E166" s="247"/>
      <c r="F166" s="248"/>
      <c r="G166" s="249"/>
      <c r="H166" s="212"/>
      <c r="I166" s="213"/>
      <c r="J166" s="214"/>
      <c r="K166" s="215"/>
    </row>
    <row r="167" spans="1:11" ht="12.75">
      <c r="A167" s="95" t="str">
        <f>A163</f>
        <v>Kitchen Upgrades</v>
      </c>
      <c r="B167" s="88"/>
      <c r="D167" s="250"/>
      <c r="E167" s="251"/>
      <c r="F167" s="240"/>
      <c r="G167" s="252"/>
      <c r="H167" s="44">
        <f>H161</f>
        <v>1</v>
      </c>
      <c r="I167" s="56">
        <f>I164</f>
        <v>0</v>
      </c>
      <c r="J167" s="46">
        <f>SUM(K167:K170)/H167</f>
        <v>2250</v>
      </c>
      <c r="K167" s="96"/>
    </row>
    <row r="168" spans="1:11" ht="12.75">
      <c r="A168" s="97"/>
      <c r="B168" s="98"/>
      <c r="C168" s="99"/>
      <c r="D168" s="253"/>
      <c r="E168" s="254"/>
      <c r="F168" s="255"/>
      <c r="G168" s="256"/>
      <c r="H168" s="100">
        <v>-1</v>
      </c>
      <c r="I168" s="101" t="s">
        <v>150</v>
      </c>
      <c r="J168" s="102"/>
      <c r="K168" s="103"/>
    </row>
    <row r="169" spans="1:11" ht="12.75">
      <c r="A169" s="97"/>
      <c r="B169" s="98"/>
      <c r="C169" s="99"/>
      <c r="D169" s="253"/>
      <c r="E169" s="254"/>
      <c r="F169" s="255"/>
      <c r="G169" s="256"/>
      <c r="H169" s="100">
        <v>1</v>
      </c>
      <c r="I169" s="101" t="s">
        <v>150</v>
      </c>
      <c r="J169" s="102">
        <v>2250</v>
      </c>
      <c r="K169" s="103">
        <f>H169*J169</f>
        <v>2250</v>
      </c>
    </row>
    <row r="170" spans="3:11" s="88" customFormat="1" ht="12.75" customHeight="1" thickBot="1">
      <c r="C170" s="67"/>
      <c r="D170" s="261"/>
      <c r="E170" s="235"/>
      <c r="F170" s="234"/>
      <c r="G170" s="262"/>
      <c r="H170" s="104"/>
      <c r="I170" s="89"/>
      <c r="J170" s="67"/>
      <c r="K170" s="80"/>
    </row>
    <row r="171" spans="4:11" ht="12.75">
      <c r="D171" s="234"/>
      <c r="E171" s="235"/>
      <c r="F171" s="263" t="str">
        <f>A159</f>
        <v>K. Kitchen Upgrades</v>
      </c>
      <c r="G171" s="264">
        <f>SUM(G161:G166)</f>
        <v>840000</v>
      </c>
      <c r="J171" s="47"/>
      <c r="K171" s="48">
        <f>SUM(K161:K170)</f>
        <v>2250</v>
      </c>
    </row>
    <row r="172" spans="4:11" s="88" customFormat="1" ht="12.75">
      <c r="D172" s="234"/>
      <c r="E172" s="235"/>
      <c r="F172" s="234"/>
      <c r="G172" s="237"/>
      <c r="I172" s="109"/>
      <c r="K172" s="106"/>
    </row>
    <row r="173" spans="1:7" ht="18" customHeight="1">
      <c r="A173" s="49" t="str">
        <f>Section_28</f>
        <v>L. New Second Tent off Sun Porch</v>
      </c>
      <c r="D173" s="234"/>
      <c r="E173" s="235"/>
      <c r="F173" s="234"/>
      <c r="G173" s="237"/>
    </row>
    <row r="174" spans="2:7" ht="12.75">
      <c r="B174" s="41"/>
      <c r="D174" s="234"/>
      <c r="E174" s="235"/>
      <c r="F174" s="234"/>
      <c r="G174" s="237"/>
    </row>
    <row r="175" spans="1:10" ht="12.75">
      <c r="A175" s="42" t="s">
        <v>324</v>
      </c>
      <c r="C175" s="182"/>
      <c r="D175" s="238">
        <f>10.67*10</f>
        <v>106.7</v>
      </c>
      <c r="E175" s="239" t="s">
        <v>123</v>
      </c>
      <c r="F175" s="240">
        <f>G199/D175</f>
        <v>7310.215557638237</v>
      </c>
      <c r="G175" s="237"/>
      <c r="H175" s="92">
        <f>10.67*10</f>
        <v>106.7</v>
      </c>
      <c r="I175" s="93" t="s">
        <v>123</v>
      </c>
      <c r="J175" s="46">
        <f>K199/H175</f>
        <v>-2.0173383317713216</v>
      </c>
    </row>
    <row r="176" spans="1:8" ht="12.75">
      <c r="A176" s="43"/>
      <c r="D176" s="241"/>
      <c r="E176" s="235"/>
      <c r="F176" s="234"/>
      <c r="G176" s="237"/>
      <c r="H176" s="94"/>
    </row>
    <row r="177" spans="1:11" s="225" customFormat="1" ht="12.75">
      <c r="A177" s="287" t="s">
        <v>484</v>
      </c>
      <c r="B177" s="224"/>
      <c r="D177" s="242">
        <f>D175</f>
        <v>106.7</v>
      </c>
      <c r="E177" s="243" t="str">
        <f>E175</f>
        <v>SF</v>
      </c>
      <c r="F177" s="244">
        <f>SUM(G177:G179)/D177</f>
        <v>7310.215557638237</v>
      </c>
      <c r="G177" s="270">
        <v>780000</v>
      </c>
      <c r="H177" s="226"/>
      <c r="I177" s="227"/>
      <c r="J177" s="228"/>
      <c r="K177" s="229"/>
    </row>
    <row r="178" spans="1:11" s="225" customFormat="1" ht="12.75">
      <c r="A178" s="209" t="s">
        <v>63</v>
      </c>
      <c r="B178" s="210"/>
      <c r="C178" s="211"/>
      <c r="D178" s="246">
        <v>-1</v>
      </c>
      <c r="E178" s="247" t="s">
        <v>150</v>
      </c>
      <c r="F178" s="248"/>
      <c r="G178" s="249"/>
      <c r="H178" s="212"/>
      <c r="I178" s="213"/>
      <c r="J178" s="214"/>
      <c r="K178" s="215"/>
    </row>
    <row r="179" spans="1:11" s="225" customFormat="1" ht="12.75">
      <c r="A179" s="284"/>
      <c r="B179" s="210"/>
      <c r="C179" s="211"/>
      <c r="D179" s="246">
        <f>-3*2</f>
        <v>-6</v>
      </c>
      <c r="E179" s="247" t="s">
        <v>123</v>
      </c>
      <c r="F179" s="248">
        <v>8.75</v>
      </c>
      <c r="G179" s="249"/>
      <c r="H179" s="212"/>
      <c r="I179" s="213"/>
      <c r="J179" s="214"/>
      <c r="K179" s="215"/>
    </row>
    <row r="180" spans="1:11" ht="12.75">
      <c r="A180" s="95" t="str">
        <f>A177</f>
        <v>Sun Porch Tent</v>
      </c>
      <c r="B180" s="88"/>
      <c r="D180" s="250"/>
      <c r="E180" s="251"/>
      <c r="F180" s="240"/>
      <c r="G180" s="252"/>
      <c r="H180" s="44">
        <f>H175</f>
        <v>106.7</v>
      </c>
      <c r="I180" s="93" t="s">
        <v>123</v>
      </c>
      <c r="J180" s="46">
        <f>SUM(K180:K198)/H180</f>
        <v>-2.0173383317713216</v>
      </c>
      <c r="K180" s="96"/>
    </row>
    <row r="181" spans="1:11" ht="63" customHeight="1">
      <c r="A181" s="450" t="s">
        <v>60</v>
      </c>
      <c r="B181" s="450"/>
      <c r="C181" s="450"/>
      <c r="D181" s="253"/>
      <c r="E181" s="254"/>
      <c r="F181" s="255"/>
      <c r="G181" s="256"/>
      <c r="H181" s="100">
        <f>-3*9</f>
        <v>-27</v>
      </c>
      <c r="I181" s="101" t="s">
        <v>123</v>
      </c>
      <c r="J181" s="102">
        <v>5.75</v>
      </c>
      <c r="K181" s="103">
        <f>H181*J181</f>
        <v>-155.25</v>
      </c>
    </row>
    <row r="182" spans="1:11" ht="25.5" customHeight="1">
      <c r="A182" s="450" t="s">
        <v>61</v>
      </c>
      <c r="B182" s="450"/>
      <c r="C182" s="450"/>
      <c r="D182" s="253"/>
      <c r="E182" s="254"/>
      <c r="F182" s="255"/>
      <c r="G182" s="256"/>
      <c r="H182" s="100">
        <f>-3*2</f>
        <v>-6</v>
      </c>
      <c r="I182" s="101" t="s">
        <v>123</v>
      </c>
      <c r="J182" s="102">
        <v>8.75</v>
      </c>
      <c r="K182" s="103">
        <f>H182*J182</f>
        <v>-52.5</v>
      </c>
    </row>
    <row r="183" spans="1:11" ht="45" customHeight="1">
      <c r="A183" s="450" t="s">
        <v>39</v>
      </c>
      <c r="B183" s="450"/>
      <c r="C183" s="450"/>
      <c r="D183" s="253"/>
      <c r="E183" s="254"/>
      <c r="F183" s="255"/>
      <c r="G183" s="256"/>
      <c r="H183" s="100"/>
      <c r="I183" s="101"/>
      <c r="J183" s="102"/>
      <c r="K183" s="103"/>
    </row>
    <row r="184" spans="1:11" ht="48" customHeight="1">
      <c r="A184" s="450" t="s">
        <v>40</v>
      </c>
      <c r="B184" s="450"/>
      <c r="C184" s="450"/>
      <c r="D184" s="253"/>
      <c r="E184" s="254"/>
      <c r="F184" s="255"/>
      <c r="G184" s="256"/>
      <c r="H184" s="100"/>
      <c r="I184" s="101"/>
      <c r="J184" s="102"/>
      <c r="K184" s="103"/>
    </row>
    <row r="185" spans="1:11" ht="32.25" customHeight="1">
      <c r="A185" s="450" t="s">
        <v>41</v>
      </c>
      <c r="B185" s="450"/>
      <c r="C185" s="450"/>
      <c r="D185" s="253"/>
      <c r="E185" s="254"/>
      <c r="F185" s="255"/>
      <c r="G185" s="256"/>
      <c r="H185" s="100"/>
      <c r="I185" s="101"/>
      <c r="J185" s="102"/>
      <c r="K185" s="103"/>
    </row>
    <row r="186" spans="1:11" ht="25.5" customHeight="1">
      <c r="A186" s="451" t="s">
        <v>248</v>
      </c>
      <c r="B186" s="451"/>
      <c r="C186" s="451"/>
      <c r="D186" s="253"/>
      <c r="E186" s="254"/>
      <c r="F186" s="255"/>
      <c r="G186" s="256"/>
      <c r="H186" s="100"/>
      <c r="I186" s="101"/>
      <c r="J186" s="102"/>
      <c r="K186" s="103"/>
    </row>
    <row r="187" spans="1:11" ht="72.75" customHeight="1">
      <c r="A187" s="450" t="s">
        <v>42</v>
      </c>
      <c r="B187" s="450"/>
      <c r="C187" s="450"/>
      <c r="D187" s="253"/>
      <c r="E187" s="254"/>
      <c r="F187" s="255"/>
      <c r="G187" s="256"/>
      <c r="H187" s="100"/>
      <c r="I187" s="101"/>
      <c r="J187" s="102"/>
      <c r="K187" s="103"/>
    </row>
    <row r="188" spans="1:11" ht="15" customHeight="1">
      <c r="A188" s="285"/>
      <c r="B188" s="285"/>
      <c r="C188" s="285"/>
      <c r="D188" s="253"/>
      <c r="E188" s="254"/>
      <c r="F188" s="255"/>
      <c r="G188" s="256"/>
      <c r="H188" s="100"/>
      <c r="I188" s="101"/>
      <c r="J188" s="102"/>
      <c r="K188" s="103"/>
    </row>
    <row r="189" spans="1:11" ht="18" customHeight="1">
      <c r="A189" s="452" t="s">
        <v>249</v>
      </c>
      <c r="B189" s="452"/>
      <c r="C189" s="452"/>
      <c r="D189" s="253"/>
      <c r="E189" s="254"/>
      <c r="F189" s="255"/>
      <c r="G189" s="256"/>
      <c r="H189" s="100"/>
      <c r="I189" s="101"/>
      <c r="J189" s="102"/>
      <c r="K189" s="103"/>
    </row>
    <row r="190" spans="1:11" ht="30" customHeight="1">
      <c r="A190" s="450" t="s">
        <v>250</v>
      </c>
      <c r="B190" s="450"/>
      <c r="C190" s="450"/>
      <c r="D190" s="253"/>
      <c r="E190" s="254"/>
      <c r="F190" s="255"/>
      <c r="G190" s="256"/>
      <c r="H190" s="100"/>
      <c r="I190" s="101"/>
      <c r="J190" s="102"/>
      <c r="K190" s="103"/>
    </row>
    <row r="191" spans="1:11" ht="25.5" customHeight="1">
      <c r="A191" s="450" t="s">
        <v>61</v>
      </c>
      <c r="B191" s="450"/>
      <c r="C191" s="450"/>
      <c r="D191" s="253"/>
      <c r="E191" s="254"/>
      <c r="F191" s="255"/>
      <c r="G191" s="256"/>
      <c r="H191" s="100"/>
      <c r="I191" s="101"/>
      <c r="J191" s="102"/>
      <c r="K191" s="103"/>
    </row>
    <row r="192" spans="1:11" ht="31.5" customHeight="1">
      <c r="A192" s="450" t="s">
        <v>251</v>
      </c>
      <c r="B192" s="450"/>
      <c r="C192" s="450"/>
      <c r="D192" s="253"/>
      <c r="E192" s="254"/>
      <c r="F192" s="255"/>
      <c r="G192" s="256"/>
      <c r="H192" s="100"/>
      <c r="I192" s="101"/>
      <c r="J192" s="102"/>
      <c r="K192" s="103"/>
    </row>
    <row r="193" spans="1:11" ht="25.5" customHeight="1">
      <c r="A193" s="450" t="s">
        <v>61</v>
      </c>
      <c r="B193" s="450"/>
      <c r="C193" s="450"/>
      <c r="D193" s="253"/>
      <c r="E193" s="254"/>
      <c r="F193" s="255"/>
      <c r="G193" s="256"/>
      <c r="H193" s="100"/>
      <c r="I193" s="101"/>
      <c r="J193" s="102"/>
      <c r="K193" s="103"/>
    </row>
    <row r="194" spans="1:11" ht="32.25" customHeight="1">
      <c r="A194" s="450" t="s">
        <v>252</v>
      </c>
      <c r="B194" s="450"/>
      <c r="C194" s="450"/>
      <c r="D194" s="253"/>
      <c r="E194" s="254"/>
      <c r="F194" s="255"/>
      <c r="G194" s="256"/>
      <c r="H194" s="100"/>
      <c r="I194" s="101"/>
      <c r="J194" s="102"/>
      <c r="K194" s="103"/>
    </row>
    <row r="195" spans="1:11" ht="25.5" customHeight="1">
      <c r="A195" s="450" t="s">
        <v>61</v>
      </c>
      <c r="B195" s="450"/>
      <c r="C195" s="450"/>
      <c r="D195" s="253"/>
      <c r="E195" s="254"/>
      <c r="F195" s="255"/>
      <c r="G195" s="256"/>
      <c r="H195" s="100"/>
      <c r="I195" s="101"/>
      <c r="J195" s="102"/>
      <c r="K195" s="103"/>
    </row>
    <row r="196" spans="1:11" ht="32.25" customHeight="1">
      <c r="A196" s="450" t="s">
        <v>37</v>
      </c>
      <c r="B196" s="450"/>
      <c r="C196" s="450"/>
      <c r="D196" s="253"/>
      <c r="E196" s="254"/>
      <c r="F196" s="255"/>
      <c r="G196" s="256"/>
      <c r="H196" s="100"/>
      <c r="I196" s="101"/>
      <c r="J196" s="102"/>
      <c r="K196" s="103"/>
    </row>
    <row r="197" spans="1:11" ht="12" customHeight="1">
      <c r="A197" s="450" t="s">
        <v>38</v>
      </c>
      <c r="B197" s="450"/>
      <c r="C197" s="450"/>
      <c r="D197" s="253"/>
      <c r="E197" s="254"/>
      <c r="F197" s="255"/>
      <c r="G197" s="256"/>
      <c r="H197" s="100">
        <v>-6</v>
      </c>
      <c r="I197" s="101" t="s">
        <v>325</v>
      </c>
      <c r="J197" s="102">
        <v>1.25</v>
      </c>
      <c r="K197" s="103">
        <f>H197*J197</f>
        <v>-7.5</v>
      </c>
    </row>
    <row r="198" spans="3:11" s="88" customFormat="1" ht="12" customHeight="1" thickBot="1">
      <c r="C198" s="67"/>
      <c r="D198" s="261"/>
      <c r="E198" s="235"/>
      <c r="F198" s="234"/>
      <c r="G198" s="262"/>
      <c r="H198" s="104"/>
      <c r="I198" s="89"/>
      <c r="J198" s="67"/>
      <c r="K198" s="80"/>
    </row>
    <row r="199" spans="4:11" ht="12" customHeight="1">
      <c r="D199" s="234"/>
      <c r="E199" s="235"/>
      <c r="F199" s="263" t="str">
        <f>A173</f>
        <v>L. New Second Tent off Sun Porch</v>
      </c>
      <c r="G199" s="264">
        <f>SUM(G175:G179)</f>
        <v>780000</v>
      </c>
      <c r="J199" s="47"/>
      <c r="K199" s="48">
        <f>SUM(K175:K198)</f>
        <v>-215.25</v>
      </c>
    </row>
    <row r="200" spans="4:11" s="88" customFormat="1" ht="12" customHeight="1">
      <c r="D200" s="234"/>
      <c r="E200" s="235"/>
      <c r="F200" s="234"/>
      <c r="G200" s="237"/>
      <c r="I200" s="109"/>
      <c r="K200" s="106"/>
    </row>
    <row r="201" spans="1:7" ht="18" customHeight="1">
      <c r="A201" s="49" t="str">
        <f>Section_29</f>
        <v>M. Pad for Tent off Sun Porch</v>
      </c>
      <c r="D201" s="234"/>
      <c r="E201" s="235"/>
      <c r="F201" s="234"/>
      <c r="G201" s="237"/>
    </row>
    <row r="202" spans="2:7" ht="12" customHeight="1">
      <c r="B202" s="41"/>
      <c r="D202" s="234"/>
      <c r="E202" s="235"/>
      <c r="F202" s="234"/>
      <c r="G202" s="237"/>
    </row>
    <row r="203" spans="1:10" ht="12" customHeight="1">
      <c r="A203" s="42" t="s">
        <v>324</v>
      </c>
      <c r="C203" s="182"/>
      <c r="D203" s="238">
        <f>10.67*10</f>
        <v>106.7</v>
      </c>
      <c r="E203" s="239" t="s">
        <v>123</v>
      </c>
      <c r="F203" s="240">
        <f>G224/D203</f>
        <v>7310.215557638237</v>
      </c>
      <c r="G203" s="237"/>
      <c r="H203" s="92">
        <f>10.67*10</f>
        <v>106.7</v>
      </c>
      <c r="I203" s="93" t="s">
        <v>123</v>
      </c>
      <c r="J203" s="46">
        <f>K224/H203</f>
        <v>178.06935332708528</v>
      </c>
    </row>
    <row r="204" spans="1:8" ht="12" customHeight="1">
      <c r="A204" s="43"/>
      <c r="D204" s="241"/>
      <c r="E204" s="235"/>
      <c r="F204" s="234"/>
      <c r="G204" s="237"/>
      <c r="H204" s="94"/>
    </row>
    <row r="205" spans="1:11" s="225" customFormat="1" ht="12.75">
      <c r="A205" s="287" t="s">
        <v>485</v>
      </c>
      <c r="B205" s="224"/>
      <c r="D205" s="242">
        <f>D203</f>
        <v>106.7</v>
      </c>
      <c r="E205" s="243" t="str">
        <f>E203</f>
        <v>SF</v>
      </c>
      <c r="F205" s="244">
        <f>SUM(G205:G207)/D205</f>
        <v>7310.215557638237</v>
      </c>
      <c r="G205" s="270">
        <v>780000</v>
      </c>
      <c r="H205" s="226"/>
      <c r="I205" s="227"/>
      <c r="J205" s="228"/>
      <c r="K205" s="229"/>
    </row>
    <row r="206" spans="1:11" s="225" customFormat="1" ht="12.75">
      <c r="A206" s="209" t="s">
        <v>63</v>
      </c>
      <c r="B206" s="210"/>
      <c r="C206" s="211"/>
      <c r="D206" s="246">
        <v>-1</v>
      </c>
      <c r="E206" s="247" t="s">
        <v>150</v>
      </c>
      <c r="F206" s="248"/>
      <c r="G206" s="249"/>
      <c r="H206" s="212"/>
      <c r="I206" s="213"/>
      <c r="J206" s="214"/>
      <c r="K206" s="215"/>
    </row>
    <row r="207" spans="1:11" s="225" customFormat="1" ht="12" customHeight="1">
      <c r="A207" s="209"/>
      <c r="B207" s="210"/>
      <c r="C207" s="211"/>
      <c r="D207" s="246"/>
      <c r="E207" s="247"/>
      <c r="F207" s="248"/>
      <c r="G207" s="249"/>
      <c r="H207" s="212"/>
      <c r="I207" s="213"/>
      <c r="J207" s="214"/>
      <c r="K207" s="215"/>
    </row>
    <row r="208" spans="1:11" ht="12" customHeight="1">
      <c r="A208" s="95" t="str">
        <f>A205</f>
        <v>Sun Porch Tent Pad</v>
      </c>
      <c r="B208" s="88"/>
      <c r="D208" s="250"/>
      <c r="E208" s="251"/>
      <c r="F208" s="240"/>
      <c r="G208" s="252"/>
      <c r="H208" s="44">
        <f>H203</f>
        <v>106.7</v>
      </c>
      <c r="I208" s="93" t="s">
        <v>123</v>
      </c>
      <c r="J208" s="46">
        <f>SUM(K208:K223)/H208</f>
        <v>178.06935332708528</v>
      </c>
      <c r="K208" s="96"/>
    </row>
    <row r="209" spans="1:11" ht="58.5" customHeight="1">
      <c r="A209" s="449" t="s">
        <v>43</v>
      </c>
      <c r="B209" s="449"/>
      <c r="C209" s="449"/>
      <c r="D209" s="253"/>
      <c r="E209" s="254"/>
      <c r="F209" s="255"/>
      <c r="G209" s="256"/>
      <c r="H209" s="100">
        <v>-1</v>
      </c>
      <c r="I209" s="101" t="s">
        <v>150</v>
      </c>
      <c r="J209" s="102"/>
      <c r="K209" s="103">
        <v>19000</v>
      </c>
    </row>
    <row r="210" spans="1:11" ht="66.75" customHeight="1">
      <c r="A210" s="449" t="s">
        <v>44</v>
      </c>
      <c r="B210" s="449"/>
      <c r="C210" s="449"/>
      <c r="D210" s="253"/>
      <c r="E210" s="254"/>
      <c r="F210" s="255"/>
      <c r="G210" s="256"/>
      <c r="H210" s="100"/>
      <c r="I210" s="101"/>
      <c r="J210" s="102"/>
      <c r="K210" s="103"/>
    </row>
    <row r="211" spans="1:11" ht="33" customHeight="1">
      <c r="A211" s="449" t="s">
        <v>45</v>
      </c>
      <c r="B211" s="449"/>
      <c r="C211" s="449"/>
      <c r="D211" s="253"/>
      <c r="E211" s="254"/>
      <c r="F211" s="255"/>
      <c r="G211" s="256"/>
      <c r="H211" s="100"/>
      <c r="I211" s="101"/>
      <c r="J211" s="102"/>
      <c r="K211" s="103"/>
    </row>
    <row r="212" spans="1:11" ht="43.5" customHeight="1">
      <c r="A212" s="449" t="s">
        <v>46</v>
      </c>
      <c r="B212" s="449"/>
      <c r="C212" s="449"/>
      <c r="D212" s="253"/>
      <c r="E212" s="254"/>
      <c r="F212" s="255"/>
      <c r="G212" s="256"/>
      <c r="H212" s="100"/>
      <c r="I212" s="101"/>
      <c r="J212" s="102"/>
      <c r="K212" s="103"/>
    </row>
    <row r="213" spans="1:11" ht="21" customHeight="1">
      <c r="A213" s="449" t="s">
        <v>47</v>
      </c>
      <c r="B213" s="449"/>
      <c r="C213" s="449"/>
      <c r="D213" s="253"/>
      <c r="E213" s="254"/>
      <c r="F213" s="255"/>
      <c r="G213" s="256"/>
      <c r="H213" s="100"/>
      <c r="I213" s="101"/>
      <c r="J213" s="102"/>
      <c r="K213" s="103"/>
    </row>
    <row r="214" spans="1:11" ht="20.25" customHeight="1">
      <c r="A214" s="449" t="s">
        <v>48</v>
      </c>
      <c r="B214" s="449"/>
      <c r="C214" s="449"/>
      <c r="D214" s="253"/>
      <c r="E214" s="254"/>
      <c r="F214" s="255"/>
      <c r="G214" s="256"/>
      <c r="H214" s="100"/>
      <c r="I214" s="101"/>
      <c r="J214" s="102"/>
      <c r="K214" s="103"/>
    </row>
    <row r="215" spans="1:11" ht="45" customHeight="1">
      <c r="A215" s="449" t="s">
        <v>49</v>
      </c>
      <c r="B215" s="449"/>
      <c r="C215" s="449"/>
      <c r="D215" s="253"/>
      <c r="E215" s="254"/>
      <c r="F215" s="255"/>
      <c r="G215" s="256"/>
      <c r="H215" s="100"/>
      <c r="I215" s="101"/>
      <c r="J215" s="102"/>
      <c r="K215" s="103"/>
    </row>
    <row r="216" spans="1:11" ht="33.75" customHeight="1">
      <c r="A216" s="449" t="s">
        <v>21</v>
      </c>
      <c r="B216" s="449"/>
      <c r="C216" s="449"/>
      <c r="D216" s="253"/>
      <c r="E216" s="254"/>
      <c r="F216" s="255"/>
      <c r="G216" s="256"/>
      <c r="H216" s="100"/>
      <c r="I216" s="101"/>
      <c r="J216" s="102"/>
      <c r="K216" s="103"/>
    </row>
    <row r="217" spans="1:11" ht="12.75" customHeight="1">
      <c r="A217" s="449" t="s">
        <v>22</v>
      </c>
      <c r="B217" s="449"/>
      <c r="C217" s="449"/>
      <c r="D217" s="253"/>
      <c r="E217" s="254"/>
      <c r="F217" s="255"/>
      <c r="G217" s="256"/>
      <c r="H217" s="100"/>
      <c r="I217" s="101"/>
      <c r="J217" s="102"/>
      <c r="K217" s="103"/>
    </row>
    <row r="218" spans="1:11" ht="12.75" customHeight="1">
      <c r="A218" s="449" t="s">
        <v>23</v>
      </c>
      <c r="B218" s="449"/>
      <c r="C218" s="449"/>
      <c r="D218" s="253"/>
      <c r="E218" s="254"/>
      <c r="F218" s="255"/>
      <c r="G218" s="256"/>
      <c r="H218" s="100"/>
      <c r="I218" s="101"/>
      <c r="J218" s="102"/>
      <c r="K218" s="103"/>
    </row>
    <row r="219" spans="1:11" ht="12.75" customHeight="1">
      <c r="A219" s="449" t="s">
        <v>24</v>
      </c>
      <c r="B219" s="449"/>
      <c r="C219" s="449"/>
      <c r="D219" s="253"/>
      <c r="E219" s="254"/>
      <c r="F219" s="255"/>
      <c r="G219" s="256"/>
      <c r="H219" s="100">
        <v>-1</v>
      </c>
      <c r="I219" s="101" t="s">
        <v>150</v>
      </c>
      <c r="J219" s="102"/>
      <c r="K219" s="103"/>
    </row>
    <row r="220" spans="1:11" ht="12.75" customHeight="1">
      <c r="A220" s="449" t="s">
        <v>25</v>
      </c>
      <c r="B220" s="449"/>
      <c r="C220" s="449"/>
      <c r="D220" s="253"/>
      <c r="E220" s="254"/>
      <c r="F220" s="255"/>
      <c r="G220" s="256"/>
      <c r="H220" s="100">
        <v>-3</v>
      </c>
      <c r="I220" s="101" t="s">
        <v>150</v>
      </c>
      <c r="J220" s="102"/>
      <c r="K220" s="103"/>
    </row>
    <row r="221" spans="1:11" ht="12" customHeight="1">
      <c r="A221" s="447"/>
      <c r="B221" s="448"/>
      <c r="C221" s="448"/>
      <c r="D221" s="253"/>
      <c r="E221" s="254"/>
      <c r="F221" s="255"/>
      <c r="G221" s="256"/>
      <c r="H221" s="100">
        <v>-10</v>
      </c>
      <c r="I221" s="101" t="s">
        <v>325</v>
      </c>
      <c r="J221" s="102"/>
      <c r="K221" s="103"/>
    </row>
    <row r="222" spans="1:11" ht="12" customHeight="1">
      <c r="A222" s="447"/>
      <c r="B222" s="447"/>
      <c r="C222" s="447"/>
      <c r="D222" s="253"/>
      <c r="E222" s="254"/>
      <c r="F222" s="255"/>
      <c r="G222" s="256"/>
      <c r="H222" s="100">
        <v>-2</v>
      </c>
      <c r="I222" s="101" t="s">
        <v>150</v>
      </c>
      <c r="J222" s="102"/>
      <c r="K222" s="103"/>
    </row>
    <row r="223" spans="1:11" s="88" customFormat="1" ht="12.75" customHeight="1" thickBot="1">
      <c r="A223" s="447"/>
      <c r="B223" s="447"/>
      <c r="C223" s="447"/>
      <c r="D223" s="261"/>
      <c r="E223" s="235"/>
      <c r="F223" s="234"/>
      <c r="G223" s="262"/>
      <c r="H223" s="104"/>
      <c r="I223" s="89"/>
      <c r="J223" s="67"/>
      <c r="K223" s="80"/>
    </row>
    <row r="224" spans="1:11" ht="12.75">
      <c r="A224" s="447"/>
      <c r="B224" s="448"/>
      <c r="C224" s="448"/>
      <c r="D224" s="234"/>
      <c r="E224" s="235"/>
      <c r="F224" s="263" t="str">
        <f>A201</f>
        <v>M. Pad for Tent off Sun Porch</v>
      </c>
      <c r="G224" s="264">
        <f>SUM(G203:G207)</f>
        <v>780000</v>
      </c>
      <c r="J224" s="47"/>
      <c r="K224" s="48">
        <f>SUM(K203:K223)</f>
        <v>19000</v>
      </c>
    </row>
    <row r="225" spans="4:11" s="88" customFormat="1" ht="12.75">
      <c r="D225" s="234"/>
      <c r="E225" s="235"/>
      <c r="F225" s="234"/>
      <c r="G225" s="237"/>
      <c r="I225" s="109"/>
      <c r="K225" s="106"/>
    </row>
    <row r="226" spans="1:7" ht="18">
      <c r="A226" s="49" t="str">
        <f>Section_54</f>
        <v>N. Upgrade Existing Tend</v>
      </c>
      <c r="D226" s="234"/>
      <c r="E226" s="235"/>
      <c r="F226" s="234"/>
      <c r="G226" s="237"/>
    </row>
    <row r="227" spans="2:7" ht="12.75">
      <c r="B227" s="41"/>
      <c r="D227" s="234"/>
      <c r="E227" s="235"/>
      <c r="F227" s="234"/>
      <c r="G227" s="237"/>
    </row>
    <row r="228" spans="1:10" ht="12.75">
      <c r="A228" s="42" t="s">
        <v>324</v>
      </c>
      <c r="C228" s="182"/>
      <c r="D228" s="238">
        <f>4*6</f>
        <v>24</v>
      </c>
      <c r="E228" s="239" t="s">
        <v>325</v>
      </c>
      <c r="F228" s="240">
        <f>G239/D228</f>
        <v>32500</v>
      </c>
      <c r="G228" s="237"/>
      <c r="H228" s="92">
        <f>4*6</f>
        <v>24</v>
      </c>
      <c r="I228" s="93" t="s">
        <v>325</v>
      </c>
      <c r="J228" s="46">
        <f>K239/H228</f>
        <v>685.4166666666666</v>
      </c>
    </row>
    <row r="229" spans="1:8" ht="12.75">
      <c r="A229" s="43"/>
      <c r="D229" s="241"/>
      <c r="E229" s="235"/>
      <c r="F229" s="234"/>
      <c r="G229" s="237"/>
      <c r="H229" s="94"/>
    </row>
    <row r="230" spans="1:11" s="225" customFormat="1" ht="12.75">
      <c r="A230" s="287" t="s">
        <v>485</v>
      </c>
      <c r="B230" s="224"/>
      <c r="D230" s="242">
        <f>D228</f>
        <v>24</v>
      </c>
      <c r="E230" s="243" t="str">
        <f>E228</f>
        <v>LF</v>
      </c>
      <c r="F230" s="244">
        <f>SUM(G230:G232)/D230</f>
        <v>32500</v>
      </c>
      <c r="G230" s="270">
        <v>780000</v>
      </c>
      <c r="H230" s="226"/>
      <c r="I230" s="227"/>
      <c r="J230" s="228"/>
      <c r="K230" s="229"/>
    </row>
    <row r="231" spans="1:11" s="225" customFormat="1" ht="12.75">
      <c r="A231" s="209" t="s">
        <v>63</v>
      </c>
      <c r="B231" s="210"/>
      <c r="C231" s="211"/>
      <c r="D231" s="246">
        <v>-1</v>
      </c>
      <c r="E231" s="247" t="s">
        <v>150</v>
      </c>
      <c r="F231" s="248"/>
      <c r="G231" s="249"/>
      <c r="H231" s="212"/>
      <c r="I231" s="213"/>
      <c r="J231" s="214"/>
      <c r="K231" s="215"/>
    </row>
    <row r="232" spans="1:11" s="225" customFormat="1" ht="12.75">
      <c r="A232" s="209"/>
      <c r="B232" s="210"/>
      <c r="C232" s="211"/>
      <c r="D232" s="246"/>
      <c r="E232" s="247"/>
      <c r="F232" s="248"/>
      <c r="G232" s="249"/>
      <c r="H232" s="212"/>
      <c r="I232" s="213"/>
      <c r="J232" s="214"/>
      <c r="K232" s="215"/>
    </row>
    <row r="233" spans="1:11" ht="12.75">
      <c r="A233" s="95" t="str">
        <f>A230</f>
        <v>Sun Porch Tent Pad</v>
      </c>
      <c r="B233" s="88"/>
      <c r="D233" s="250"/>
      <c r="E233" s="251"/>
      <c r="F233" s="240"/>
      <c r="G233" s="252"/>
      <c r="H233" s="44">
        <f>H228</f>
        <v>24</v>
      </c>
      <c r="I233" s="93" t="s">
        <v>325</v>
      </c>
      <c r="J233" s="46">
        <f>SUM(K233:K238)/H233</f>
        <v>685.4166666666666</v>
      </c>
      <c r="K233" s="96"/>
    </row>
    <row r="234" spans="1:11" ht="96.75" customHeight="1">
      <c r="A234" s="445" t="s">
        <v>27</v>
      </c>
      <c r="B234" s="445"/>
      <c r="C234" s="445"/>
      <c r="D234" s="253"/>
      <c r="E234" s="254"/>
      <c r="F234" s="255"/>
      <c r="G234" s="256"/>
      <c r="H234" s="100">
        <v>-4</v>
      </c>
      <c r="I234" s="101" t="s">
        <v>150</v>
      </c>
      <c r="J234" s="102"/>
      <c r="K234" s="103">
        <v>13000</v>
      </c>
    </row>
    <row r="235" spans="1:11" ht="12.75">
      <c r="A235" s="97"/>
      <c r="B235" s="98"/>
      <c r="C235" s="99"/>
      <c r="D235" s="253"/>
      <c r="E235" s="254"/>
      <c r="F235" s="255"/>
      <c r="G235" s="256"/>
      <c r="H235" s="100">
        <v>-2</v>
      </c>
      <c r="I235" s="101" t="s">
        <v>150</v>
      </c>
      <c r="J235" s="102"/>
      <c r="K235" s="103"/>
    </row>
    <row r="236" spans="1:11" ht="12.75">
      <c r="A236" s="97"/>
      <c r="B236" s="98"/>
      <c r="C236" s="99"/>
      <c r="D236" s="253"/>
      <c r="E236" s="254"/>
      <c r="F236" s="255"/>
      <c r="G236" s="256"/>
      <c r="H236" s="100">
        <v>3</v>
      </c>
      <c r="I236" s="101" t="s">
        <v>150</v>
      </c>
      <c r="J236" s="102">
        <v>550</v>
      </c>
      <c r="K236" s="103">
        <f>H236*J236</f>
        <v>1650</v>
      </c>
    </row>
    <row r="237" spans="1:11" ht="12.75">
      <c r="A237" s="97"/>
      <c r="B237" s="98"/>
      <c r="C237" s="99"/>
      <c r="D237" s="253"/>
      <c r="E237" s="254"/>
      <c r="F237" s="255"/>
      <c r="G237" s="256"/>
      <c r="H237" s="100">
        <v>1</v>
      </c>
      <c r="I237" s="101" t="s">
        <v>150</v>
      </c>
      <c r="J237" s="102">
        <v>1800</v>
      </c>
      <c r="K237" s="103">
        <f>H237*J237</f>
        <v>1800</v>
      </c>
    </row>
    <row r="238" spans="3:11" s="88" customFormat="1" ht="12.75" customHeight="1" thickBot="1">
      <c r="C238" s="67"/>
      <c r="D238" s="261"/>
      <c r="E238" s="235"/>
      <c r="F238" s="234"/>
      <c r="G238" s="262"/>
      <c r="H238" s="104"/>
      <c r="I238" s="89"/>
      <c r="J238" s="67"/>
      <c r="K238" s="80"/>
    </row>
    <row r="239" spans="4:11" ht="12.75">
      <c r="D239" s="234"/>
      <c r="E239" s="235"/>
      <c r="F239" s="263" t="str">
        <f>A226</f>
        <v>N. Upgrade Existing Tend</v>
      </c>
      <c r="G239" s="264">
        <f>SUM(G228:G232)</f>
        <v>780000</v>
      </c>
      <c r="J239" s="47"/>
      <c r="K239" s="48">
        <f>SUM(K228:K238)</f>
        <v>16450</v>
      </c>
    </row>
    <row r="240" spans="4:11" s="88" customFormat="1" ht="12.75">
      <c r="D240" s="234"/>
      <c r="E240" s="235"/>
      <c r="F240" s="234"/>
      <c r="G240" s="237"/>
      <c r="I240" s="109"/>
      <c r="K240" s="106"/>
    </row>
    <row r="241" spans="1:7" ht="18">
      <c r="A241" s="49" t="str">
        <f>Section_55</f>
        <v>O. Replace Existing Tent</v>
      </c>
      <c r="D241" s="234"/>
      <c r="E241" s="235"/>
      <c r="F241" s="234"/>
      <c r="G241" s="237"/>
    </row>
    <row r="242" spans="2:7" ht="12.75">
      <c r="B242" s="41"/>
      <c r="D242" s="234"/>
      <c r="E242" s="235"/>
      <c r="F242" s="234"/>
      <c r="G242" s="237"/>
    </row>
    <row r="243" spans="1:10" ht="12.75">
      <c r="A243" s="42" t="s">
        <v>324</v>
      </c>
      <c r="C243" s="182"/>
      <c r="D243" s="238">
        <f>10*19</f>
        <v>190</v>
      </c>
      <c r="E243" s="239" t="s">
        <v>123</v>
      </c>
      <c r="F243" s="240">
        <f>G252/D243</f>
        <v>68.42105263157895</v>
      </c>
      <c r="G243" s="237"/>
      <c r="H243" s="92">
        <f>10*19</f>
        <v>190</v>
      </c>
      <c r="I243" s="93" t="s">
        <v>123</v>
      </c>
      <c r="J243" s="46">
        <f>K252/H243</f>
        <v>8.421052631578947</v>
      </c>
    </row>
    <row r="244" spans="1:8" ht="12.75">
      <c r="A244" s="43"/>
      <c r="D244" s="241"/>
      <c r="E244" s="235"/>
      <c r="F244" s="234"/>
      <c r="G244" s="237"/>
      <c r="H244" s="94"/>
    </row>
    <row r="245" spans="1:11" s="225" customFormat="1" ht="12.75">
      <c r="A245" s="287" t="s">
        <v>62</v>
      </c>
      <c r="B245" s="224"/>
      <c r="D245" s="242">
        <f>D243</f>
        <v>190</v>
      </c>
      <c r="E245" s="243" t="s">
        <v>123</v>
      </c>
      <c r="F245" s="244">
        <f>SUM(G245:G247)/D245</f>
        <v>68.42105263157895</v>
      </c>
      <c r="G245" s="245"/>
      <c r="H245" s="226"/>
      <c r="I245" s="227"/>
      <c r="J245" s="228"/>
      <c r="K245" s="229"/>
    </row>
    <row r="246" spans="1:11" s="225" customFormat="1" ht="12.75">
      <c r="A246" s="288" t="s">
        <v>64</v>
      </c>
      <c r="B246" s="210"/>
      <c r="C246" s="211"/>
      <c r="D246" s="246">
        <v>2</v>
      </c>
      <c r="E246" s="247" t="s">
        <v>150</v>
      </c>
      <c r="F246" s="248">
        <v>525</v>
      </c>
      <c r="G246" s="249">
        <v>13000</v>
      </c>
      <c r="H246" s="212"/>
      <c r="I246" s="213"/>
      <c r="J246" s="214"/>
      <c r="K246" s="215"/>
    </row>
    <row r="247" spans="1:11" s="225" customFormat="1" ht="12.75">
      <c r="A247" s="209"/>
      <c r="B247" s="224"/>
      <c r="D247" s="246"/>
      <c r="E247" s="277"/>
      <c r="F247" s="278"/>
      <c r="G247" s="249"/>
      <c r="H247" s="212"/>
      <c r="I247" s="279"/>
      <c r="J247" s="280"/>
      <c r="K247" s="215"/>
    </row>
    <row r="248" spans="1:11" ht="12.75">
      <c r="A248" s="95" t="str">
        <f>A245</f>
        <v>Tile Work</v>
      </c>
      <c r="B248" s="88"/>
      <c r="D248" s="250"/>
      <c r="E248" s="251"/>
      <c r="F248" s="240"/>
      <c r="G248" s="252"/>
      <c r="H248" s="44">
        <f>H243</f>
        <v>190</v>
      </c>
      <c r="I248" s="93" t="s">
        <v>123</v>
      </c>
      <c r="J248" s="46">
        <f>SUM(K248:K251)/H248</f>
        <v>8.421052631578947</v>
      </c>
      <c r="K248" s="96"/>
    </row>
    <row r="249" spans="1:11" ht="57.75" customHeight="1">
      <c r="A249" s="446" t="s">
        <v>26</v>
      </c>
      <c r="B249" s="446"/>
      <c r="C249" s="446"/>
      <c r="D249" s="253"/>
      <c r="E249" s="254"/>
      <c r="F249" s="255"/>
      <c r="G249" s="256"/>
      <c r="H249" s="100">
        <v>2</v>
      </c>
      <c r="I249" s="101" t="s">
        <v>150</v>
      </c>
      <c r="J249" s="102">
        <v>525</v>
      </c>
      <c r="K249" s="103">
        <f>H249*J249</f>
        <v>1050</v>
      </c>
    </row>
    <row r="250" spans="1:11" ht="12.75">
      <c r="A250" s="97"/>
      <c r="B250" s="88"/>
      <c r="D250" s="253"/>
      <c r="E250" s="235"/>
      <c r="F250" s="275"/>
      <c r="G250" s="256"/>
      <c r="H250" s="100">
        <v>2</v>
      </c>
      <c r="I250" s="109" t="s">
        <v>150</v>
      </c>
      <c r="J250" s="179">
        <v>275</v>
      </c>
      <c r="K250" s="103">
        <f>H250*J250</f>
        <v>550</v>
      </c>
    </row>
    <row r="251" spans="3:11" s="88" customFormat="1" ht="12.75" customHeight="1" thickBot="1">
      <c r="C251" s="67"/>
      <c r="D251" s="261"/>
      <c r="E251" s="235"/>
      <c r="F251" s="234"/>
      <c r="G251" s="262"/>
      <c r="H251" s="104"/>
      <c r="I251" s="89"/>
      <c r="J251" s="67"/>
      <c r="K251" s="80"/>
    </row>
    <row r="252" spans="4:11" ht="12.75">
      <c r="D252" s="234"/>
      <c r="E252" s="235"/>
      <c r="F252" s="263" t="str">
        <f>A241</f>
        <v>O. Replace Existing Tent</v>
      </c>
      <c r="G252" s="264">
        <f>SUM(G243:G247)</f>
        <v>13000</v>
      </c>
      <c r="J252" s="47"/>
      <c r="K252" s="48">
        <f>SUM(K243:K251)</f>
        <v>1600</v>
      </c>
    </row>
    <row r="253" spans="4:11" s="88" customFormat="1" ht="12.75">
      <c r="D253" s="234"/>
      <c r="E253" s="235"/>
      <c r="F253" s="234"/>
      <c r="G253" s="237"/>
      <c r="I253" s="109"/>
      <c r="K253" s="106"/>
    </row>
    <row r="254" spans="1:11" s="144" customFormat="1" ht="12.75">
      <c r="A254" s="154"/>
      <c r="C254" s="139"/>
      <c r="D254" s="111"/>
      <c r="E254" s="112"/>
      <c r="F254" s="293"/>
      <c r="G254" s="291"/>
      <c r="H254" s="111"/>
      <c r="I254" s="112"/>
      <c r="J254" s="293"/>
      <c r="K254" s="291"/>
    </row>
    <row r="255" spans="1:11" s="144" customFormat="1" ht="12.75">
      <c r="A255" s="154"/>
      <c r="C255" s="139"/>
      <c r="D255" s="111"/>
      <c r="E255" s="112"/>
      <c r="F255" s="293"/>
      <c r="G255" s="291"/>
      <c r="H255" s="111"/>
      <c r="I255" s="112"/>
      <c r="J255" s="293"/>
      <c r="K255" s="291"/>
    </row>
    <row r="256" spans="1:11" s="144" customFormat="1" ht="12.75">
      <c r="A256" s="154"/>
      <c r="C256" s="139"/>
      <c r="D256" s="111"/>
      <c r="E256" s="112"/>
      <c r="F256" s="293"/>
      <c r="G256" s="291"/>
      <c r="H256" s="111"/>
      <c r="I256" s="112"/>
      <c r="J256" s="293"/>
      <c r="K256" s="291"/>
    </row>
    <row r="257" spans="1:11" s="144" customFormat="1" ht="12.75">
      <c r="A257" s="154"/>
      <c r="C257" s="139"/>
      <c r="D257" s="111"/>
      <c r="E257" s="112"/>
      <c r="F257" s="293"/>
      <c r="G257" s="291"/>
      <c r="H257" s="111"/>
      <c r="I257" s="112"/>
      <c r="J257" s="293"/>
      <c r="K257" s="291"/>
    </row>
    <row r="258" spans="1:11" s="144" customFormat="1" ht="12.75">
      <c r="A258" s="154"/>
      <c r="C258" s="139"/>
      <c r="D258" s="111"/>
      <c r="E258" s="112"/>
      <c r="F258" s="293"/>
      <c r="G258" s="291"/>
      <c r="H258" s="111"/>
      <c r="I258" s="112"/>
      <c r="J258" s="293"/>
      <c r="K258" s="291"/>
    </row>
    <row r="259" spans="1:11" s="144" customFormat="1" ht="12.75">
      <c r="A259" s="154"/>
      <c r="C259" s="139"/>
      <c r="D259" s="111"/>
      <c r="E259" s="112"/>
      <c r="F259" s="293"/>
      <c r="G259" s="291"/>
      <c r="H259" s="111"/>
      <c r="I259" s="112"/>
      <c r="J259" s="293"/>
      <c r="K259" s="291"/>
    </row>
    <row r="260" spans="1:11" s="144" customFormat="1" ht="12.75">
      <c r="A260" s="154"/>
      <c r="C260" s="139"/>
      <c r="D260" s="111"/>
      <c r="E260" s="112"/>
      <c r="F260" s="293"/>
      <c r="G260" s="291"/>
      <c r="H260" s="111"/>
      <c r="I260" s="112"/>
      <c r="J260" s="293"/>
      <c r="K260" s="291"/>
    </row>
    <row r="261" spans="1:11" s="144" customFormat="1" ht="12.75">
      <c r="A261" s="154"/>
      <c r="C261" s="139"/>
      <c r="D261" s="111"/>
      <c r="E261" s="112"/>
      <c r="F261" s="293"/>
      <c r="G261" s="291"/>
      <c r="H261" s="111"/>
      <c r="I261" s="112"/>
      <c r="J261" s="293"/>
      <c r="K261" s="291"/>
    </row>
    <row r="262" spans="1:11" s="144" customFormat="1" ht="12.75">
      <c r="A262" s="154"/>
      <c r="C262" s="139"/>
      <c r="D262" s="111"/>
      <c r="E262" s="112"/>
      <c r="F262" s="293"/>
      <c r="G262" s="291"/>
      <c r="H262" s="111"/>
      <c r="I262" s="112"/>
      <c r="J262" s="293"/>
      <c r="K262" s="291"/>
    </row>
    <row r="263" spans="1:11" s="144" customFormat="1" ht="12.75">
      <c r="A263" s="154"/>
      <c r="C263" s="139"/>
      <c r="D263" s="111"/>
      <c r="E263" s="112"/>
      <c r="F263" s="293"/>
      <c r="G263" s="291"/>
      <c r="H263" s="111"/>
      <c r="I263" s="112"/>
      <c r="J263" s="293"/>
      <c r="K263" s="291"/>
    </row>
    <row r="264" spans="1:11" s="144" customFormat="1" ht="12.75">
      <c r="A264" s="154"/>
      <c r="C264" s="139"/>
      <c r="D264" s="111"/>
      <c r="E264" s="112"/>
      <c r="F264" s="293"/>
      <c r="G264" s="291"/>
      <c r="H264" s="111"/>
      <c r="I264" s="112"/>
      <c r="J264" s="293"/>
      <c r="K264" s="291"/>
    </row>
    <row r="265" spans="1:11" s="144" customFormat="1" ht="12.75">
      <c r="A265" s="154"/>
      <c r="C265" s="139"/>
      <c r="D265" s="111"/>
      <c r="E265" s="112"/>
      <c r="F265" s="293"/>
      <c r="G265" s="291"/>
      <c r="H265" s="111"/>
      <c r="I265" s="112"/>
      <c r="J265" s="293"/>
      <c r="K265" s="291"/>
    </row>
    <row r="266" spans="1:11" s="144" customFormat="1" ht="12.75">
      <c r="A266" s="154"/>
      <c r="C266" s="139"/>
      <c r="D266" s="111"/>
      <c r="E266" s="112"/>
      <c r="F266" s="293"/>
      <c r="G266" s="291"/>
      <c r="H266" s="111"/>
      <c r="I266" s="112"/>
      <c r="J266" s="293"/>
      <c r="K266" s="291"/>
    </row>
    <row r="267" spans="1:11" s="144" customFormat="1" ht="12.75">
      <c r="A267" s="154"/>
      <c r="C267" s="139"/>
      <c r="D267" s="111"/>
      <c r="E267" s="112"/>
      <c r="F267" s="293"/>
      <c r="G267" s="291"/>
      <c r="H267" s="111"/>
      <c r="I267" s="112"/>
      <c r="J267" s="293"/>
      <c r="K267" s="291"/>
    </row>
    <row r="268" spans="1:11" s="144" customFormat="1" ht="12.75">
      <c r="A268" s="154"/>
      <c r="C268" s="139"/>
      <c r="D268" s="111"/>
      <c r="E268" s="112"/>
      <c r="F268" s="293"/>
      <c r="G268" s="291"/>
      <c r="H268" s="111"/>
      <c r="I268" s="112"/>
      <c r="J268" s="293"/>
      <c r="K268" s="291"/>
    </row>
    <row r="269" spans="1:11" s="144" customFormat="1" ht="12.75">
      <c r="A269" s="154"/>
      <c r="C269" s="139"/>
      <c r="D269" s="111"/>
      <c r="E269" s="112"/>
      <c r="F269" s="293"/>
      <c r="G269" s="291"/>
      <c r="H269" s="111"/>
      <c r="I269" s="112"/>
      <c r="J269" s="293"/>
      <c r="K269" s="291"/>
    </row>
    <row r="270" spans="1:11" s="144" customFormat="1" ht="12.75">
      <c r="A270" s="294"/>
      <c r="D270" s="295"/>
      <c r="E270" s="290"/>
      <c r="G270" s="291"/>
      <c r="H270" s="295"/>
      <c r="I270" s="290"/>
      <c r="K270" s="291"/>
    </row>
    <row r="271" spans="1:11" s="144" customFormat="1" ht="12.75">
      <c r="A271" s="143"/>
      <c r="D271" s="111"/>
      <c r="E271" s="112"/>
      <c r="F271" s="293"/>
      <c r="G271" s="296"/>
      <c r="H271" s="111"/>
      <c r="I271" s="112"/>
      <c r="J271" s="293"/>
      <c r="K271" s="296"/>
    </row>
    <row r="272" spans="1:11" s="144" customFormat="1" ht="12.75">
      <c r="A272" s="297"/>
      <c r="B272" s="98"/>
      <c r="C272" s="99"/>
      <c r="D272" s="100"/>
      <c r="E272" s="101"/>
      <c r="F272" s="102"/>
      <c r="G272" s="103"/>
      <c r="H272" s="100"/>
      <c r="I272" s="101"/>
      <c r="J272" s="102"/>
      <c r="K272" s="103"/>
    </row>
    <row r="273" spans="1:11" s="144" customFormat="1" ht="12.75">
      <c r="A273" s="297"/>
      <c r="B273" s="98"/>
      <c r="C273" s="99"/>
      <c r="D273" s="100"/>
      <c r="E273" s="101"/>
      <c r="F273" s="102"/>
      <c r="G273" s="103"/>
      <c r="H273" s="100"/>
      <c r="I273" s="101"/>
      <c r="J273" s="102"/>
      <c r="K273" s="103"/>
    </row>
    <row r="274" spans="1:11" s="144" customFormat="1" ht="12.75">
      <c r="A274" s="297"/>
      <c r="B274" s="98"/>
      <c r="C274" s="99"/>
      <c r="D274" s="100"/>
      <c r="E274" s="101"/>
      <c r="F274" s="102"/>
      <c r="G274" s="103"/>
      <c r="H274" s="100"/>
      <c r="I274" s="101"/>
      <c r="J274" s="102"/>
      <c r="K274" s="103"/>
    </row>
    <row r="275" spans="1:11" s="144" customFormat="1" ht="12.75">
      <c r="A275" s="297"/>
      <c r="B275" s="98"/>
      <c r="C275" s="99"/>
      <c r="D275" s="100"/>
      <c r="E275" s="101"/>
      <c r="F275" s="102"/>
      <c r="G275" s="103"/>
      <c r="H275" s="100"/>
      <c r="I275" s="101"/>
      <c r="J275" s="102"/>
      <c r="K275" s="103"/>
    </row>
    <row r="276" spans="1:11" s="144" customFormat="1" ht="12.75">
      <c r="A276" s="297"/>
      <c r="B276" s="98"/>
      <c r="C276" s="99"/>
      <c r="D276" s="100"/>
      <c r="E276" s="101"/>
      <c r="F276" s="102"/>
      <c r="G276" s="103"/>
      <c r="H276" s="100"/>
      <c r="I276" s="101"/>
      <c r="J276" s="102"/>
      <c r="K276" s="103"/>
    </row>
    <row r="277" spans="1:11" s="144" customFormat="1" ht="12.75">
      <c r="A277" s="297"/>
      <c r="D277" s="100"/>
      <c r="E277" s="101"/>
      <c r="F277" s="102"/>
      <c r="G277" s="103"/>
      <c r="H277" s="100"/>
      <c r="I277" s="101"/>
      <c r="J277" s="102"/>
      <c r="K277" s="103"/>
    </row>
    <row r="278" spans="4:11" s="144" customFormat="1" ht="12.75" customHeight="1">
      <c r="D278" s="298"/>
      <c r="E278" s="290"/>
      <c r="G278" s="291"/>
      <c r="H278" s="298"/>
      <c r="I278" s="290"/>
      <c r="K278" s="291"/>
    </row>
    <row r="279" spans="5:11" s="144" customFormat="1" ht="12.75">
      <c r="E279" s="290"/>
      <c r="F279" s="299"/>
      <c r="G279" s="300"/>
      <c r="I279" s="290"/>
      <c r="J279" s="299"/>
      <c r="K279" s="300"/>
    </row>
    <row r="280" spans="5:11" s="144" customFormat="1" ht="12.75">
      <c r="E280" s="290"/>
      <c r="G280" s="291"/>
      <c r="I280" s="290"/>
      <c r="K280" s="291"/>
    </row>
    <row r="281" spans="1:11" s="144" customFormat="1" ht="18">
      <c r="A281" s="289"/>
      <c r="E281" s="290"/>
      <c r="G281" s="291"/>
      <c r="I281" s="290"/>
      <c r="K281" s="291"/>
    </row>
    <row r="282" spans="2:11" s="144" customFormat="1" ht="12.75">
      <c r="B282" s="292"/>
      <c r="E282" s="290"/>
      <c r="G282" s="291"/>
      <c r="I282" s="290"/>
      <c r="K282" s="291"/>
    </row>
    <row r="283" spans="1:11" s="144" customFormat="1" ht="12.75">
      <c r="A283" s="154"/>
      <c r="C283" s="139"/>
      <c r="D283" s="111"/>
      <c r="E283" s="112"/>
      <c r="F283" s="293"/>
      <c r="G283" s="291"/>
      <c r="H283" s="111"/>
      <c r="I283" s="112"/>
      <c r="J283" s="293"/>
      <c r="K283" s="291"/>
    </row>
    <row r="284" spans="1:11" s="144" customFormat="1" ht="12.75">
      <c r="A284" s="294"/>
      <c r="D284" s="295"/>
      <c r="E284" s="290"/>
      <c r="G284" s="291"/>
      <c r="H284" s="295"/>
      <c r="I284" s="290"/>
      <c r="K284" s="291"/>
    </row>
    <row r="285" spans="1:11" s="144" customFormat="1" ht="12.75">
      <c r="A285" s="143"/>
      <c r="D285" s="111"/>
      <c r="E285" s="112"/>
      <c r="F285" s="293"/>
      <c r="G285" s="296"/>
      <c r="H285" s="111"/>
      <c r="I285" s="112"/>
      <c r="J285" s="293"/>
      <c r="K285" s="296"/>
    </row>
    <row r="286" spans="1:11" s="144" customFormat="1" ht="12.75">
      <c r="A286" s="297"/>
      <c r="B286" s="98"/>
      <c r="C286" s="99"/>
      <c r="D286" s="100"/>
      <c r="E286" s="101"/>
      <c r="F286" s="102"/>
      <c r="G286" s="103"/>
      <c r="H286" s="100"/>
      <c r="I286" s="101"/>
      <c r="J286" s="102"/>
      <c r="K286" s="103"/>
    </row>
    <row r="287" spans="1:11" s="144" customFormat="1" ht="12.75">
      <c r="A287" s="297"/>
      <c r="B287" s="98"/>
      <c r="C287" s="99"/>
      <c r="D287" s="100"/>
      <c r="E287" s="101"/>
      <c r="F287" s="102"/>
      <c r="G287" s="103"/>
      <c r="H287" s="100"/>
      <c r="I287" s="101"/>
      <c r="J287" s="102"/>
      <c r="K287" s="103"/>
    </row>
    <row r="288" spans="1:11" s="144" customFormat="1" ht="12.75">
      <c r="A288" s="297"/>
      <c r="B288" s="98"/>
      <c r="C288" s="99"/>
      <c r="D288" s="100"/>
      <c r="E288" s="101"/>
      <c r="F288" s="102"/>
      <c r="G288" s="103"/>
      <c r="H288" s="100"/>
      <c r="I288" s="101"/>
      <c r="J288" s="102"/>
      <c r="K288" s="103"/>
    </row>
    <row r="289" spans="1:11" s="144" customFormat="1" ht="12.75">
      <c r="A289" s="297"/>
      <c r="B289" s="98"/>
      <c r="C289" s="99"/>
      <c r="D289" s="100"/>
      <c r="E289" s="101"/>
      <c r="F289" s="102"/>
      <c r="G289" s="103"/>
      <c r="H289" s="100"/>
      <c r="I289" s="101"/>
      <c r="J289" s="102"/>
      <c r="K289" s="103"/>
    </row>
    <row r="290" spans="1:11" s="144" customFormat="1" ht="12.75">
      <c r="A290" s="297"/>
      <c r="B290" s="98"/>
      <c r="C290" s="99"/>
      <c r="D290" s="100"/>
      <c r="E290" s="101"/>
      <c r="F290" s="102"/>
      <c r="G290" s="103"/>
      <c r="H290" s="100"/>
      <c r="I290" s="101"/>
      <c r="J290" s="102"/>
      <c r="K290" s="103"/>
    </row>
    <row r="291" spans="1:11" s="144" customFormat="1" ht="12.75">
      <c r="A291" s="297"/>
      <c r="B291" s="98"/>
      <c r="C291" s="99"/>
      <c r="D291" s="100"/>
      <c r="E291" s="101"/>
      <c r="F291" s="102"/>
      <c r="G291" s="103"/>
      <c r="H291" s="100"/>
      <c r="I291" s="101"/>
      <c r="J291" s="102"/>
      <c r="K291" s="103"/>
    </row>
    <row r="292" spans="1:11" s="144" customFormat="1" ht="12.75">
      <c r="A292" s="297"/>
      <c r="D292" s="100"/>
      <c r="E292" s="101"/>
      <c r="F292" s="102"/>
      <c r="G292" s="103"/>
      <c r="H292" s="100"/>
      <c r="I292" s="101"/>
      <c r="J292" s="102"/>
      <c r="K292" s="103"/>
    </row>
    <row r="293" spans="4:11" s="144" customFormat="1" ht="12.75" customHeight="1">
      <c r="D293" s="298"/>
      <c r="E293" s="290"/>
      <c r="G293" s="291"/>
      <c r="H293" s="298"/>
      <c r="I293" s="290"/>
      <c r="K293" s="291"/>
    </row>
    <row r="294" spans="5:11" s="144" customFormat="1" ht="12.75">
      <c r="E294" s="290"/>
      <c r="F294" s="299"/>
      <c r="G294" s="300"/>
      <c r="I294" s="290"/>
      <c r="J294" s="299"/>
      <c r="K294" s="300"/>
    </row>
    <row r="295" spans="5:11" s="144" customFormat="1" ht="12.75">
      <c r="E295" s="290"/>
      <c r="G295" s="291"/>
      <c r="I295" s="290"/>
      <c r="K295" s="291"/>
    </row>
    <row r="296" spans="1:11" s="144" customFormat="1" ht="18">
      <c r="A296" s="289"/>
      <c r="E296" s="290"/>
      <c r="G296" s="291"/>
      <c r="I296" s="290"/>
      <c r="K296" s="291"/>
    </row>
    <row r="297" spans="2:11" s="144" customFormat="1" ht="12.75">
      <c r="B297" s="292"/>
      <c r="E297" s="290"/>
      <c r="G297" s="291"/>
      <c r="I297" s="290"/>
      <c r="K297" s="291"/>
    </row>
    <row r="298" spans="1:11" s="144" customFormat="1" ht="12.75">
      <c r="A298" s="154"/>
      <c r="C298" s="139"/>
      <c r="D298" s="111"/>
      <c r="E298" s="112"/>
      <c r="F298" s="293"/>
      <c r="G298" s="291"/>
      <c r="H298" s="111"/>
      <c r="I298" s="112"/>
      <c r="J298" s="293"/>
      <c r="K298" s="291"/>
    </row>
    <row r="299" spans="1:11" s="144" customFormat="1" ht="12.75">
      <c r="A299" s="294"/>
      <c r="D299" s="295"/>
      <c r="E299" s="290"/>
      <c r="G299" s="291"/>
      <c r="H299" s="295"/>
      <c r="I299" s="290"/>
      <c r="K299" s="291"/>
    </row>
    <row r="300" spans="1:11" s="144" customFormat="1" ht="12.75">
      <c r="A300" s="143"/>
      <c r="D300" s="111"/>
      <c r="E300" s="112"/>
      <c r="F300" s="293"/>
      <c r="G300" s="296"/>
      <c r="H300" s="111"/>
      <c r="I300" s="112"/>
      <c r="J300" s="293"/>
      <c r="K300" s="296"/>
    </row>
    <row r="301" spans="1:11" s="144" customFormat="1" ht="12.75">
      <c r="A301" s="297"/>
      <c r="B301" s="98"/>
      <c r="C301" s="99"/>
      <c r="D301" s="100"/>
      <c r="E301" s="101"/>
      <c r="F301" s="102"/>
      <c r="G301" s="103"/>
      <c r="H301" s="100"/>
      <c r="I301" s="101"/>
      <c r="J301" s="102"/>
      <c r="K301" s="103"/>
    </row>
    <row r="302" spans="1:11" s="144" customFormat="1" ht="12.75">
      <c r="A302" s="297"/>
      <c r="B302" s="98"/>
      <c r="C302" s="99"/>
      <c r="D302" s="100"/>
      <c r="E302" s="101"/>
      <c r="F302" s="102"/>
      <c r="G302" s="103"/>
      <c r="H302" s="100"/>
      <c r="I302" s="101"/>
      <c r="J302" s="102"/>
      <c r="K302" s="103"/>
    </row>
    <row r="303" spans="1:11" s="144" customFormat="1" ht="12.75">
      <c r="A303" s="297"/>
      <c r="B303" s="98"/>
      <c r="C303" s="99"/>
      <c r="D303" s="100"/>
      <c r="E303" s="101"/>
      <c r="F303" s="102"/>
      <c r="G303" s="103"/>
      <c r="H303" s="100"/>
      <c r="I303" s="101"/>
      <c r="J303" s="102"/>
      <c r="K303" s="103"/>
    </row>
    <row r="304" spans="1:11" s="144" customFormat="1" ht="12.75">
      <c r="A304" s="297"/>
      <c r="B304" s="98"/>
      <c r="C304" s="99"/>
      <c r="D304" s="100"/>
      <c r="E304" s="101"/>
      <c r="F304" s="102"/>
      <c r="G304" s="103"/>
      <c r="H304" s="100"/>
      <c r="I304" s="101"/>
      <c r="J304" s="102"/>
      <c r="K304" s="103"/>
    </row>
    <row r="305" spans="1:11" s="144" customFormat="1" ht="12.75">
      <c r="A305" s="297"/>
      <c r="B305" s="98"/>
      <c r="C305" s="99"/>
      <c r="D305" s="100"/>
      <c r="E305" s="101"/>
      <c r="F305" s="102"/>
      <c r="G305" s="103"/>
      <c r="H305" s="100"/>
      <c r="I305" s="101"/>
      <c r="J305" s="102"/>
      <c r="K305" s="103"/>
    </row>
    <row r="306" spans="1:11" s="144" customFormat="1" ht="12.75">
      <c r="A306" s="297"/>
      <c r="D306" s="295"/>
      <c r="E306" s="290"/>
      <c r="F306" s="301"/>
      <c r="G306" s="296"/>
      <c r="H306" s="295"/>
      <c r="I306" s="290"/>
      <c r="J306" s="301"/>
      <c r="K306" s="296"/>
    </row>
    <row r="307" spans="4:11" s="144" customFormat="1" ht="12.75" customHeight="1">
      <c r="D307" s="298"/>
      <c r="E307" s="290"/>
      <c r="G307" s="291"/>
      <c r="H307" s="298"/>
      <c r="I307" s="290"/>
      <c r="K307" s="291"/>
    </row>
    <row r="308" spans="5:11" s="144" customFormat="1" ht="12.75">
      <c r="E308" s="290"/>
      <c r="F308" s="299"/>
      <c r="G308" s="300"/>
      <c r="I308" s="290"/>
      <c r="J308" s="299"/>
      <c r="K308" s="300"/>
    </row>
    <row r="309" spans="5:11" s="144" customFormat="1" ht="12.75">
      <c r="E309" s="290"/>
      <c r="G309" s="291"/>
      <c r="I309" s="290"/>
      <c r="K309" s="291"/>
    </row>
    <row r="310" spans="1:11" s="144" customFormat="1" ht="18">
      <c r="A310" s="289"/>
      <c r="E310" s="290"/>
      <c r="G310" s="291"/>
      <c r="I310" s="290"/>
      <c r="K310" s="291"/>
    </row>
    <row r="311" spans="2:11" s="144" customFormat="1" ht="12.75">
      <c r="B311" s="292"/>
      <c r="E311" s="290"/>
      <c r="G311" s="291"/>
      <c r="I311" s="290"/>
      <c r="K311" s="291"/>
    </row>
    <row r="312" spans="1:11" s="144" customFormat="1" ht="12.75">
      <c r="A312" s="154"/>
      <c r="C312" s="139"/>
      <c r="D312" s="111"/>
      <c r="E312" s="112"/>
      <c r="F312" s="293"/>
      <c r="G312" s="291"/>
      <c r="H312" s="111"/>
      <c r="I312" s="112"/>
      <c r="J312" s="293"/>
      <c r="K312" s="291"/>
    </row>
    <row r="313" spans="1:11" s="144" customFormat="1" ht="12.75">
      <c r="A313" s="294"/>
      <c r="D313" s="295"/>
      <c r="E313" s="290"/>
      <c r="G313" s="291"/>
      <c r="H313" s="295"/>
      <c r="I313" s="290"/>
      <c r="K313" s="291"/>
    </row>
    <row r="314" spans="1:11" s="144" customFormat="1" ht="12.75">
      <c r="A314" s="143"/>
      <c r="D314" s="111"/>
      <c r="E314" s="112"/>
      <c r="F314" s="293"/>
      <c r="G314" s="296"/>
      <c r="H314" s="111"/>
      <c r="I314" s="112"/>
      <c r="J314" s="293"/>
      <c r="K314" s="296"/>
    </row>
    <row r="315" spans="1:11" s="144" customFormat="1" ht="12.75">
      <c r="A315" s="297"/>
      <c r="B315" s="98"/>
      <c r="C315" s="99"/>
      <c r="D315" s="100"/>
      <c r="E315" s="101"/>
      <c r="F315" s="102"/>
      <c r="G315" s="103"/>
      <c r="H315" s="100"/>
      <c r="I315" s="101"/>
      <c r="J315" s="102"/>
      <c r="K315" s="103"/>
    </row>
  </sheetData>
  <mergeCells count="60">
    <mergeCell ref="A16:C16"/>
    <mergeCell ref="A17:C17"/>
    <mergeCell ref="A18:C18"/>
    <mergeCell ref="A35:C35"/>
    <mergeCell ref="A55:C55"/>
    <mergeCell ref="A68:C68"/>
    <mergeCell ref="A19:C19"/>
    <mergeCell ref="A20:C20"/>
    <mergeCell ref="A21:C21"/>
    <mergeCell ref="A83:C83"/>
    <mergeCell ref="A95:C95"/>
    <mergeCell ref="A107:C107"/>
    <mergeCell ref="A69:C69"/>
    <mergeCell ref="A70:C70"/>
    <mergeCell ref="A71:C71"/>
    <mergeCell ref="A108:C108"/>
    <mergeCell ref="A109:C109"/>
    <mergeCell ref="A110:C110"/>
    <mergeCell ref="A111:C111"/>
    <mergeCell ref="A127:C127"/>
    <mergeCell ref="A128:C128"/>
    <mergeCell ref="A155:C155"/>
    <mergeCell ref="A112:C112"/>
    <mergeCell ref="A113:C113"/>
    <mergeCell ref="A125:C125"/>
    <mergeCell ref="A126:C126"/>
    <mergeCell ref="A181:C181"/>
    <mergeCell ref="A182:C182"/>
    <mergeCell ref="A183:C183"/>
    <mergeCell ref="A184:C184"/>
    <mergeCell ref="A185:C185"/>
    <mergeCell ref="A186:C186"/>
    <mergeCell ref="A187:C187"/>
    <mergeCell ref="A189:C189"/>
    <mergeCell ref="A190:C190"/>
    <mergeCell ref="A191:C191"/>
    <mergeCell ref="A192:C192"/>
    <mergeCell ref="A193:C193"/>
    <mergeCell ref="A194:C194"/>
    <mergeCell ref="A195:C195"/>
    <mergeCell ref="A196:C196"/>
    <mergeCell ref="A197:C197"/>
    <mergeCell ref="A209:C209"/>
    <mergeCell ref="A210:C210"/>
    <mergeCell ref="A211:C211"/>
    <mergeCell ref="A212:C212"/>
    <mergeCell ref="A213:C213"/>
    <mergeCell ref="A214:C214"/>
    <mergeCell ref="A215:C215"/>
    <mergeCell ref="A216:C216"/>
    <mergeCell ref="A217:C217"/>
    <mergeCell ref="A218:C218"/>
    <mergeCell ref="A219:C219"/>
    <mergeCell ref="A220:C220"/>
    <mergeCell ref="A234:C234"/>
    <mergeCell ref="A249:C249"/>
    <mergeCell ref="A221:C221"/>
    <mergeCell ref="A222:C222"/>
    <mergeCell ref="A223:C223"/>
    <mergeCell ref="A224:C22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SmithGroup Management Services, 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Young</dc:creator>
  <cp:keywords>Template</cp:keywords>
  <dc:description/>
  <cp:lastModifiedBy>Rhonda Saunders</cp:lastModifiedBy>
  <cp:lastPrinted>2004-04-21T14:53:44Z</cp:lastPrinted>
  <dcterms:created xsi:type="dcterms:W3CDTF">2001-06-06T18:12:48Z</dcterms:created>
  <dcterms:modified xsi:type="dcterms:W3CDTF">2004-06-01T12:39:26Z</dcterms:modified>
  <cp:category>Cost Report Template</cp:category>
  <cp:version/>
  <cp:contentType/>
  <cp:contentStatus/>
</cp:coreProperties>
</file>

<file path=docProps/custom.xml><?xml version="1.0" encoding="utf-8"?>
<Properties xmlns="http://schemas.openxmlformats.org/officeDocument/2006/custom-properties" xmlns:vt="http://schemas.openxmlformats.org/officeDocument/2006/docPropsVTypes"/>
</file>