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95" windowWidth="15480" windowHeight="5940" tabRatio="585" activeTab="0"/>
  </bookViews>
  <sheets>
    <sheet name="SUMMARY" sheetId="1" r:id="rId1"/>
    <sheet name="HTHW" sheetId="2" r:id="rId2"/>
    <sheet name="HTHW Chart" sheetId="3" r:id="rId3"/>
    <sheet name="Electric" sheetId="4" r:id="rId4"/>
    <sheet name="ElectChart" sheetId="5" r:id="rId5"/>
    <sheet name="Nat Gas Usage" sheetId="6" r:id="rId6"/>
    <sheet name="Water Usage" sheetId="7" r:id="rId7"/>
    <sheet name="Dom Water Chart" sheetId="8" r:id="rId8"/>
    <sheet name="Rates" sheetId="9" r:id="rId9"/>
  </sheets>
  <definedNames>
    <definedName name="_xlnm.Print_Area" localSheetId="3">'Electric'!$A$79:$I$142</definedName>
    <definedName name="_xlnm.Print_Area" localSheetId="1">'HTHW'!$A$81:$H$142</definedName>
    <definedName name="_xlnm.Print_Area" localSheetId="5">'Nat Gas Usage'!$A$66:$H$125</definedName>
    <definedName name="_xlnm.Print_Area" localSheetId="8">'Rates'!$B$1:$G$45</definedName>
    <definedName name="_xlnm.Print_Area" localSheetId="0">'SUMMARY'!$B$90:$K$126</definedName>
    <definedName name="_xlnm.Print_Area" localSheetId="6">'Water Usage'!$A$67:$H$128</definedName>
    <definedName name="_xlnm.Print_Titles" localSheetId="3">'Electric'!$1:$5</definedName>
    <definedName name="_xlnm.Print_Titles" localSheetId="1">'HTHW'!$1:$6</definedName>
    <definedName name="_xlnm.Print_Titles" localSheetId="5">'Nat Gas Usage'!$1:$5</definedName>
    <definedName name="_xlnm.Print_Titles" localSheetId="0">'SUMMARY'!$1:$5</definedName>
    <definedName name="_xlnm.Print_Titles" localSheetId="6">'Water Usage'!$1:$6</definedName>
  </definedNames>
  <calcPr fullCalcOnLoad="1"/>
</workbook>
</file>

<file path=xl/sharedStrings.xml><?xml version="1.0" encoding="utf-8"?>
<sst xmlns="http://schemas.openxmlformats.org/spreadsheetml/2006/main" count="376" uniqueCount="130">
  <si>
    <t>SPORTS AND RECREATION CENTER</t>
  </si>
  <si>
    <t>Billing</t>
  </si>
  <si>
    <t>Month</t>
  </si>
  <si>
    <t>Date of</t>
  </si>
  <si>
    <t>Meter Reading</t>
  </si>
  <si>
    <t>Consumption</t>
  </si>
  <si>
    <t>Unit Costs</t>
  </si>
  <si>
    <t>Total Monthly</t>
  </si>
  <si>
    <t>Cost</t>
  </si>
  <si>
    <t>Partial (60%)</t>
  </si>
  <si>
    <t>Measurement</t>
  </si>
  <si>
    <t>Method</t>
  </si>
  <si>
    <t>EMS</t>
  </si>
  <si>
    <t>Jul-00*</t>
  </si>
  <si>
    <t>EMS-July 99 + 20%</t>
  </si>
  <si>
    <t>EMS-Aug 99 + 20%</t>
  </si>
  <si>
    <t>EMS-Sep 99 + 20%</t>
  </si>
  <si>
    <t>EMS-Oct 99 + 20%</t>
  </si>
  <si>
    <t>Aug-00*</t>
  </si>
  <si>
    <t>Sep-00*</t>
  </si>
  <si>
    <t>Oct-00*</t>
  </si>
  <si>
    <t>*HTHW flow meter readings presumed faulty.  July, August,September, October '99 readings + 20%</t>
  </si>
  <si>
    <t>substituted, per R. Mora. (20% addition is a result of increased make-up air to HVAC system)</t>
  </si>
  <si>
    <t>*</t>
  </si>
  <si>
    <t>Estimated using May 2000</t>
  </si>
  <si>
    <t>Estimated using May 2001</t>
  </si>
  <si>
    <t>$ / MMbtu</t>
  </si>
  <si>
    <t>MMBtu</t>
  </si>
  <si>
    <t>Boiler Efficiency</t>
  </si>
  <si>
    <t>High Temperature Hot Water MMBTU Cost Calculation</t>
  </si>
  <si>
    <t>Cost per MMBTU</t>
  </si>
  <si>
    <t>ADD</t>
  </si>
  <si>
    <t>Notes</t>
  </si>
  <si>
    <t>Item</t>
  </si>
  <si>
    <t>TOTAL Cost</t>
  </si>
  <si>
    <t>Add cost for distribution system losses</t>
  </si>
  <si>
    <t>Data taken from Honeywell EMS BTU calculation</t>
  </si>
  <si>
    <t>MCF</t>
  </si>
  <si>
    <t>cu. Ft. x 100</t>
  </si>
  <si>
    <t>gal. X 1000</t>
  </si>
  <si>
    <t>gal X 1000</t>
  </si>
  <si>
    <t>cubic feet</t>
  </si>
  <si>
    <t>Unit Cost</t>
  </si>
  <si>
    <t>$ / cu ft</t>
  </si>
  <si>
    <t>Demand</t>
  </si>
  <si>
    <t>Kw</t>
  </si>
  <si>
    <t>estimated due to mtr problems</t>
  </si>
  <si>
    <t>$ / kW</t>
  </si>
  <si>
    <t>Demand Cost</t>
  </si>
  <si>
    <t>Consm. Cost</t>
  </si>
  <si>
    <t>$ / kWhr</t>
  </si>
  <si>
    <t>Add cost to run power house: pumping power, labor, and maint.</t>
  </si>
  <si>
    <t>Electricity</t>
  </si>
  <si>
    <t>Natural Gas</t>
  </si>
  <si>
    <t>Monthly Totals</t>
  </si>
  <si>
    <t>HTHW</t>
  </si>
  <si>
    <t>60% Monthly Totals</t>
  </si>
  <si>
    <t>Student Recreation &amp; Athletic Center</t>
  </si>
  <si>
    <t>Monthly Utility Cost Summary</t>
  </si>
  <si>
    <t>High Temperature Hot Water Consumption &amp; Cost</t>
  </si>
  <si>
    <t>Natural Gas Consumption &amp; Cost</t>
  </si>
  <si>
    <t>Electricity Consumption &amp; Cost</t>
  </si>
  <si>
    <t>Water and Sewer Consumption &amp; Costs</t>
  </si>
  <si>
    <t>Add cost for metering, data collection, analysis, &amp; billing</t>
  </si>
  <si>
    <t>Natural Gas Cost</t>
  </si>
  <si>
    <t>Add cost to convert natural gas to hot water, boiler losses</t>
  </si>
  <si>
    <t>Actual from May01</t>
  </si>
  <si>
    <t>Actual from June01</t>
  </si>
  <si>
    <t>Recorded by Honeywell system.</t>
  </si>
  <si>
    <t>Estimated number by averaging</t>
  </si>
  <si>
    <t>the FY00 and FY01 actual numbers</t>
  </si>
  <si>
    <t>for June.</t>
  </si>
  <si>
    <t>Recorded by Honeywell system ……..</t>
  </si>
  <si>
    <t>Numbers in Red are Estimates</t>
  </si>
  <si>
    <t>estimate</t>
  </si>
  <si>
    <t xml:space="preserve">Averaged Annual Gas Cost </t>
  </si>
  <si>
    <t>per MMBtu</t>
  </si>
  <si>
    <t>Transportation cost to OU</t>
  </si>
  <si>
    <t>Total cost</t>
  </si>
  <si>
    <t>Conversion to MCF</t>
  </si>
  <si>
    <t>TOTAL RATE</t>
  </si>
  <si>
    <t>per MCF</t>
  </si>
  <si>
    <t>Reading</t>
  </si>
  <si>
    <t>Electricity Average Cost</t>
  </si>
  <si>
    <t>per kW-hour</t>
  </si>
  <si>
    <t>note 1</t>
  </si>
  <si>
    <t>60% Quarterly Totals</t>
  </si>
  <si>
    <t>Water &amp; Sewer</t>
  </si>
  <si>
    <t>NOTE 1:  New electric meter was installed and was not functional until October 11, 2002</t>
  </si>
  <si>
    <t>(kW- Hrs)</t>
  </si>
  <si>
    <t>New BTU Meter</t>
  </si>
  <si>
    <t>OU Auxiliary Utility Rates</t>
  </si>
  <si>
    <t>Electric Rate</t>
  </si>
  <si>
    <t>For Reference:  Detroit Edison - General Service Rate D3 = $0.0995 per kW-hour</t>
  </si>
  <si>
    <t>Natural Gas Rate</t>
  </si>
  <si>
    <t>per CCF</t>
  </si>
  <si>
    <t>CCF = 100 Cubic Feet,  MCF = Million Cubic Feet,  MMBTU = Million British Thermal Units</t>
  </si>
  <si>
    <t>Consumers Energy bill in CCF, so this unit is used for the SA for comparison to the Consumers billings</t>
  </si>
  <si>
    <t>Water &amp; Sewer Rate</t>
  </si>
  <si>
    <t xml:space="preserve">Auburn Hills Water Cost </t>
  </si>
  <si>
    <t>per cubic feet</t>
  </si>
  <si>
    <t>Auburn Hills Sewer Cost</t>
  </si>
  <si>
    <t>Central Plant O&amp;M</t>
  </si>
  <si>
    <t>Distribution System Eff.</t>
  </si>
  <si>
    <t>Raw fuel input to boilers = avg annual gas cost + transp to OU</t>
  </si>
  <si>
    <t>missed</t>
  </si>
  <si>
    <t>&gt;1000</t>
  </si>
  <si>
    <t>$ / MCF</t>
  </si>
  <si>
    <t>(kW - Hrs)</t>
  </si>
  <si>
    <t>MMBtu per MCF</t>
  </si>
  <si>
    <t>Transportation cost to Auxiliary</t>
  </si>
  <si>
    <t>prepared by Jim Leidel - Energy Manager - phone 4990</t>
  </si>
  <si>
    <t>(numbers in red are estimates)</t>
  </si>
  <si>
    <t>FY Total</t>
  </si>
  <si>
    <t>MMBTU</t>
  </si>
  <si>
    <t>FY2007 Cost</t>
  </si>
  <si>
    <t>FY2005 Cost</t>
  </si>
  <si>
    <t>FY2006 Cost</t>
  </si>
  <si>
    <t>FY2004 Cost</t>
  </si>
  <si>
    <t>kWhours</t>
  </si>
  <si>
    <t>5/1508</t>
  </si>
  <si>
    <t>FY2008 Totals</t>
  </si>
  <si>
    <t>FY2009 Totals</t>
  </si>
  <si>
    <t>FY 2010</t>
  </si>
  <si>
    <t>Metering &amp; Disrib. O&amp;M</t>
  </si>
  <si>
    <t>FY2008 Cost</t>
  </si>
  <si>
    <t>FY2009 Cost</t>
  </si>
  <si>
    <t>FY2010 Cost</t>
  </si>
  <si>
    <t>OFF</t>
  </si>
  <si>
    <t>FY2010 Totals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</si>
</sst>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0"/>
    <numFmt numFmtId="166" formatCode="&quot;$&quot;#,##0.00"/>
    <numFmt numFmtId="167" formatCode="0.0%"/>
    <numFmt numFmtId="168" formatCode="&quot;$&quot;#,##0.000000"/>
    <numFmt numFmtId="169" formatCode="_(&quot;$&quot;* #,##0.0000_);_(&quot;$&quot;* \(#,##0.0000\);_(&quot;$&quot;* &quot;-&quot;????_);_(@_)"/>
    <numFmt numFmtId="170" formatCode="#,##0.000"/>
    <numFmt numFmtId="171" formatCode="&quot;$&quot;#,##0.0000"/>
    <numFmt numFmtId="172" formatCode="_(&quot;$&quot;* #,##0.000000_);_(&quot;$&quot;* \(#,##0.000000\);_(&quot;$&quot;* &quot;-&quot;??????_);_(@_)"/>
    <numFmt numFmtId="173" formatCode="#,##0.0"/>
    <numFmt numFmtId="174" formatCode="0.0"/>
    <numFmt numFmtId="175" formatCode="_(&quot;$&quot;* #,##0.000_);_(&quot;$&quot;* \(#,##0.000\);_(&quot;$&quot;* &quot;-&quot;???_);_(@_)"/>
    <numFmt numFmtId="176" formatCode="0.000%"/>
    <numFmt numFmtId="177" formatCode="[$-409]mmm\-yy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7.25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12"/>
      <name val="Arial"/>
      <family val="0"/>
    </font>
    <font>
      <b/>
      <sz val="14"/>
      <color indexed="12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3" fontId="0" fillId="0" borderId="17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7" fontId="0" fillId="0" borderId="16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70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0" fillId="0" borderId="18" xfId="0" applyNumberFormat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168" fontId="0" fillId="0" borderId="0" xfId="0" applyNumberFormat="1" applyAlignment="1">
      <alignment/>
    </xf>
    <xf numFmtId="165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170" fontId="0" fillId="0" borderId="16" xfId="0" applyNumberFormat="1" applyFill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44" fontId="0" fillId="0" borderId="11" xfId="0" applyNumberFormat="1" applyFill="1" applyBorder="1" applyAlignment="1">
      <alignment horizontal="center"/>
    </xf>
    <xf numFmtId="44" fontId="0" fillId="0" borderId="16" xfId="0" applyNumberFormat="1" applyFill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13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44" fontId="0" fillId="0" borderId="16" xfId="0" applyNumberFormat="1" applyBorder="1" applyAlignment="1">
      <alignment horizontal="center"/>
    </xf>
    <xf numFmtId="0" fontId="2" fillId="0" borderId="18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/>
    </xf>
    <xf numFmtId="0" fontId="0" fillId="20" borderId="19" xfId="0" applyFill="1" applyBorder="1" applyAlignment="1">
      <alignment/>
    </xf>
    <xf numFmtId="44" fontId="0" fillId="0" borderId="19" xfId="0" applyNumberForma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14" fontId="0" fillId="0" borderId="13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166" fontId="0" fillId="0" borderId="20" xfId="0" applyNumberFormat="1" applyFill="1" applyBorder="1" applyAlignment="1">
      <alignment horizontal="center"/>
    </xf>
    <xf numFmtId="166" fontId="0" fillId="0" borderId="21" xfId="0" applyNumberFormat="1" applyFill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17" fontId="0" fillId="0" borderId="26" xfId="0" applyNumberFormat="1" applyFill="1" applyBorder="1" applyAlignment="1">
      <alignment horizontal="center"/>
    </xf>
    <xf numFmtId="17" fontId="0" fillId="0" borderId="22" xfId="0" applyNumberFormat="1" applyFill="1" applyBorder="1" applyAlignment="1">
      <alignment horizontal="center"/>
    </xf>
    <xf numFmtId="44" fontId="0" fillId="0" borderId="17" xfId="0" applyNumberFormat="1" applyFill="1" applyBorder="1" applyAlignment="1">
      <alignment horizontal="center"/>
    </xf>
    <xf numFmtId="44" fontId="0" fillId="0" borderId="27" xfId="0" applyNumberFormat="1" applyFont="1" applyFill="1" applyBorder="1" applyAlignment="1">
      <alignment horizontal="center"/>
    </xf>
    <xf numFmtId="44" fontId="0" fillId="0" borderId="24" xfId="0" applyNumberFormat="1" applyFont="1" applyFill="1" applyBorder="1" applyAlignment="1">
      <alignment horizontal="center"/>
    </xf>
    <xf numFmtId="17" fontId="0" fillId="0" borderId="28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42" fontId="0" fillId="0" borderId="17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42" fontId="0" fillId="0" borderId="11" xfId="0" applyNumberFormat="1" applyFill="1" applyBorder="1" applyAlignment="1">
      <alignment horizontal="center"/>
    </xf>
    <xf numFmtId="17" fontId="0" fillId="0" borderId="29" xfId="0" applyNumberFormat="1" applyFill="1" applyBorder="1" applyAlignment="1">
      <alignment horizontal="center"/>
    </xf>
    <xf numFmtId="42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6" fontId="0" fillId="0" borderId="0" xfId="0" applyNumberFormat="1" applyFill="1" applyAlignment="1">
      <alignment/>
    </xf>
    <xf numFmtId="17" fontId="0" fillId="0" borderId="14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71" fontId="0" fillId="0" borderId="25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171" fontId="0" fillId="0" borderId="27" xfId="0" applyNumberFormat="1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71" fontId="0" fillId="0" borderId="24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17" fontId="0" fillId="22" borderId="2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4" fontId="0" fillId="0" borderId="12" xfId="0" applyNumberFormat="1" applyFill="1" applyBorder="1" applyAlignment="1">
      <alignment horizontal="center"/>
    </xf>
    <xf numFmtId="14" fontId="0" fillId="22" borderId="1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74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44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7" fontId="11" fillId="0" borderId="0" xfId="0" applyNumberFormat="1" applyFont="1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75" fontId="12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44" fontId="0" fillId="0" borderId="16" xfId="0" applyNumberFormat="1" applyFont="1" applyFill="1" applyBorder="1" applyAlignment="1">
      <alignment horizontal="center"/>
    </xf>
    <xf numFmtId="17" fontId="0" fillId="0" borderId="17" xfId="0" applyNumberFormat="1" applyFont="1" applyFill="1" applyBorder="1" applyAlignment="1">
      <alignment horizontal="center"/>
    </xf>
    <xf numFmtId="44" fontId="0" fillId="0" borderId="17" xfId="0" applyNumberFormat="1" applyFont="1" applyFill="1" applyBorder="1" applyAlignment="1">
      <alignment horizontal="center"/>
    </xf>
    <xf numFmtId="44" fontId="0" fillId="0" borderId="11" xfId="0" applyNumberFormat="1" applyFont="1" applyFill="1" applyBorder="1" applyAlignment="1">
      <alignment horizontal="center"/>
    </xf>
    <xf numFmtId="17" fontId="0" fillId="0" borderId="16" xfId="0" applyNumberFormat="1" applyFont="1" applyFill="1" applyBorder="1" applyAlignment="1">
      <alignment horizontal="center"/>
    </xf>
    <xf numFmtId="44" fontId="0" fillId="0" borderId="3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7" fontId="0" fillId="0" borderId="22" xfId="0" applyNumberFormat="1" applyFont="1" applyFill="1" applyBorder="1" applyAlignment="1">
      <alignment horizontal="center"/>
    </xf>
    <xf numFmtId="44" fontId="0" fillId="0" borderId="22" xfId="0" applyNumberFormat="1" applyFont="1" applyFill="1" applyBorder="1" applyAlignment="1">
      <alignment horizontal="center"/>
    </xf>
    <xf numFmtId="44" fontId="0" fillId="0" borderId="23" xfId="0" applyNumberFormat="1" applyFont="1" applyFill="1" applyBorder="1" applyAlignment="1">
      <alignment horizontal="center"/>
    </xf>
    <xf numFmtId="14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170" fontId="10" fillId="0" borderId="32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44" fontId="0" fillId="0" borderId="33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4" fontId="0" fillId="0" borderId="32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44" fontId="0" fillId="0" borderId="29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70" fontId="0" fillId="0" borderId="30" xfId="0" applyNumberFormat="1" applyFill="1" applyBorder="1" applyAlignment="1">
      <alignment horizontal="center"/>
    </xf>
    <xf numFmtId="170" fontId="0" fillId="0" borderId="32" xfId="0" applyNumberFormat="1" applyFill="1" applyBorder="1" applyAlignment="1">
      <alignment horizontal="center"/>
    </xf>
    <xf numFmtId="170" fontId="0" fillId="0" borderId="22" xfId="0" applyNumberFormat="1" applyFill="1" applyBorder="1" applyAlignment="1">
      <alignment horizontal="center"/>
    </xf>
    <xf numFmtId="170" fontId="0" fillId="0" borderId="2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0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73" fontId="0" fillId="0" borderId="35" xfId="0" applyNumberFormat="1" applyFill="1" applyBorder="1" applyAlignment="1">
      <alignment horizontal="center"/>
    </xf>
    <xf numFmtId="14" fontId="0" fillId="0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17" fontId="0" fillId="0" borderId="14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171" fontId="0" fillId="0" borderId="27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71" fontId="0" fillId="0" borderId="24" xfId="0" applyNumberFormat="1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 horizontal="center"/>
    </xf>
    <xf numFmtId="17" fontId="0" fillId="0" borderId="26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42" fontId="0" fillId="0" borderId="11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17" fontId="10" fillId="0" borderId="0" xfId="0" applyNumberFormat="1" applyFont="1" applyFill="1" applyBorder="1" applyAlignment="1">
      <alignment horizontal="center"/>
    </xf>
    <xf numFmtId="17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167" fontId="12" fillId="0" borderId="0" xfId="0" applyNumberFormat="1" applyFont="1" applyFill="1" applyBorder="1" applyAlignment="1">
      <alignment horizontal="center"/>
    </xf>
    <xf numFmtId="3" fontId="12" fillId="22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3" fontId="15" fillId="0" borderId="0" xfId="0" applyNumberFormat="1" applyFont="1" applyFill="1" applyBorder="1" applyAlignment="1">
      <alignment horizontal="left"/>
    </xf>
    <xf numFmtId="175" fontId="0" fillId="0" borderId="11" xfId="0" applyNumberFormat="1" applyFill="1" applyBorder="1" applyAlignment="1">
      <alignment horizontal="center"/>
    </xf>
    <xf numFmtId="169" fontId="2" fillId="22" borderId="36" xfId="0" applyNumberFormat="1" applyFont="1" applyFill="1" applyBorder="1" applyAlignment="1">
      <alignment/>
    </xf>
    <xf numFmtId="44" fontId="8" fillId="22" borderId="0" xfId="0" applyNumberFormat="1" applyFont="1" applyFill="1" applyBorder="1" applyAlignment="1">
      <alignment horizontal="center"/>
    </xf>
    <xf numFmtId="169" fontId="8" fillId="22" borderId="36" xfId="0" applyNumberFormat="1" applyFont="1" applyFill="1" applyBorder="1" applyAlignment="1">
      <alignment horizontal="center"/>
    </xf>
    <xf numFmtId="175" fontId="0" fillId="0" borderId="12" xfId="0" applyNumberFormat="1" applyFill="1" applyBorder="1" applyAlignment="1">
      <alignment horizontal="center"/>
    </xf>
    <xf numFmtId="171" fontId="0" fillId="0" borderId="34" xfId="0" applyNumberFormat="1" applyFont="1" applyFill="1" applyBorder="1" applyAlignment="1">
      <alignment horizontal="center"/>
    </xf>
    <xf numFmtId="44" fontId="8" fillId="0" borderId="0" xfId="0" applyNumberFormat="1" applyFont="1" applyFill="1" applyBorder="1" applyAlignment="1">
      <alignment horizontal="center"/>
    </xf>
    <xf numFmtId="17" fontId="0" fillId="0" borderId="35" xfId="0" applyNumberFormat="1" applyFill="1" applyBorder="1" applyAlignment="1">
      <alignment horizontal="center"/>
    </xf>
    <xf numFmtId="17" fontId="0" fillId="0" borderId="20" xfId="0" applyNumberFormat="1" applyFill="1" applyBorder="1" applyAlignment="1">
      <alignment horizontal="center"/>
    </xf>
    <xf numFmtId="14" fontId="0" fillId="0" borderId="37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14" fontId="0" fillId="0" borderId="38" xfId="0" applyNumberFormat="1" applyFill="1" applyBorder="1" applyAlignment="1">
      <alignment horizontal="center"/>
    </xf>
    <xf numFmtId="14" fontId="0" fillId="0" borderId="35" xfId="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17" fontId="0" fillId="0" borderId="39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42" fontId="0" fillId="0" borderId="12" xfId="0" applyNumberFormat="1" applyFont="1" applyFill="1" applyBorder="1" applyAlignment="1">
      <alignment horizontal="center"/>
    </xf>
    <xf numFmtId="166" fontId="0" fillId="22" borderId="17" xfId="0" applyNumberFormat="1" applyFont="1" applyFill="1" applyBorder="1" applyAlignment="1">
      <alignment horizontal="center"/>
    </xf>
    <xf numFmtId="42" fontId="0" fillId="22" borderId="17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44" fontId="0" fillId="0" borderId="0" xfId="0" applyNumberFormat="1" applyFont="1" applyFill="1" applyAlignment="1">
      <alignment/>
    </xf>
    <xf numFmtId="44" fontId="0" fillId="0" borderId="32" xfId="0" applyNumberFormat="1" applyFill="1" applyBorder="1" applyAlignment="1">
      <alignment horizontal="center"/>
    </xf>
    <xf numFmtId="44" fontId="0" fillId="0" borderId="31" xfId="0" applyNumberFormat="1" applyFill="1" applyBorder="1" applyAlignment="1">
      <alignment horizontal="center"/>
    </xf>
    <xf numFmtId="44" fontId="0" fillId="0" borderId="40" xfId="0" applyNumberFormat="1" applyFill="1" applyBorder="1" applyAlignment="1">
      <alignment horizontal="center"/>
    </xf>
    <xf numFmtId="44" fontId="0" fillId="0" borderId="20" xfId="0" applyNumberFormat="1" applyFill="1" applyBorder="1" applyAlignment="1">
      <alignment horizontal="center"/>
    </xf>
    <xf numFmtId="44" fontId="0" fillId="0" borderId="35" xfId="0" applyNumberForma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31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38" xfId="0" applyNumberForma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65" fontId="0" fillId="0" borderId="17" xfId="0" applyNumberForma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66" fontId="0" fillId="0" borderId="3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6" fontId="0" fillId="0" borderId="12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4" fontId="0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" fontId="0" fillId="0" borderId="11" xfId="0" applyNumberFormat="1" applyFont="1" applyFill="1" applyBorder="1" applyAlignment="1">
      <alignment horizontal="center" vertical="center"/>
    </xf>
    <xf numFmtId="44" fontId="0" fillId="0" borderId="24" xfId="0" applyNumberFormat="1" applyFont="1" applyFill="1" applyBorder="1" applyAlignment="1">
      <alignment horizontal="center" vertical="center"/>
    </xf>
    <xf numFmtId="44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0" fillId="0" borderId="0" xfId="0" applyNumberFormat="1" applyFill="1" applyAlignment="1">
      <alignment vertical="center"/>
    </xf>
    <xf numFmtId="44" fontId="0" fillId="0" borderId="25" xfId="0" applyNumberFormat="1" applyFont="1" applyFill="1" applyBorder="1" applyAlignment="1">
      <alignment horizontal="center" vertical="center"/>
    </xf>
    <xf numFmtId="44" fontId="0" fillId="0" borderId="16" xfId="0" applyNumberFormat="1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44" fontId="0" fillId="0" borderId="17" xfId="0" applyNumberFormat="1" applyFont="1" applyFill="1" applyBorder="1" applyAlignment="1">
      <alignment horizontal="center" vertical="center"/>
    </xf>
    <xf numFmtId="17" fontId="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" fontId="2" fillId="22" borderId="22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 wrapText="1"/>
    </xf>
    <xf numFmtId="0" fontId="8" fillId="0" borderId="42" xfId="0" applyNumberFormat="1" applyFont="1" applyFill="1" applyBorder="1" applyAlignment="1">
      <alignment horizontal="center" vertical="center" wrapText="1"/>
    </xf>
    <xf numFmtId="17" fontId="2" fillId="0" borderId="22" xfId="0" applyNumberFormat="1" applyFont="1" applyFill="1" applyBorder="1" applyAlignment="1">
      <alignment horizontal="center" vertical="center"/>
    </xf>
    <xf numFmtId="44" fontId="2" fillId="0" borderId="17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4" fontId="2" fillId="0" borderId="11" xfId="0" applyNumberFormat="1" applyFont="1" applyFill="1" applyBorder="1" applyAlignment="1">
      <alignment vertical="center"/>
    </xf>
    <xf numFmtId="44" fontId="2" fillId="0" borderId="16" xfId="0" applyNumberFormat="1" applyFont="1" applyFill="1" applyBorder="1" applyAlignment="1">
      <alignment vertical="center"/>
    </xf>
    <xf numFmtId="44" fontId="2" fillId="0" borderId="10" xfId="0" applyNumberFormat="1" applyFont="1" applyFill="1" applyBorder="1" applyAlignment="1">
      <alignment vertical="center"/>
    </xf>
    <xf numFmtId="17" fontId="2" fillId="0" borderId="29" xfId="0" applyNumberFormat="1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vertical="center"/>
    </xf>
    <xf numFmtId="44" fontId="0" fillId="0" borderId="43" xfId="0" applyNumberFormat="1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42" fontId="0" fillId="0" borderId="17" xfId="0" applyNumberFormat="1" applyFont="1" applyFill="1" applyBorder="1" applyAlignment="1">
      <alignment horizontal="center"/>
    </xf>
    <xf numFmtId="17" fontId="0" fillId="0" borderId="23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2" fontId="0" fillId="0" borderId="16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0" fillId="0" borderId="32" xfId="0" applyNumberForma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175" fontId="0" fillId="0" borderId="17" xfId="0" applyNumberFormat="1" applyFill="1" applyBorder="1" applyAlignment="1">
      <alignment horizontal="center"/>
    </xf>
    <xf numFmtId="44" fontId="0" fillId="0" borderId="14" xfId="0" applyNumberFormat="1" applyFill="1" applyBorder="1" applyAlignment="1">
      <alignment horizontal="center"/>
    </xf>
    <xf numFmtId="175" fontId="0" fillId="0" borderId="11" xfId="0" applyNumberFormat="1" applyFont="1" applyFill="1" applyBorder="1" applyAlignment="1">
      <alignment horizontal="center"/>
    </xf>
    <xf numFmtId="44" fontId="0" fillId="0" borderId="1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44" fontId="0" fillId="0" borderId="39" xfId="0" applyNumberFormat="1" applyFont="1" applyFill="1" applyBorder="1" applyAlignment="1">
      <alignment horizontal="center"/>
    </xf>
    <xf numFmtId="44" fontId="0" fillId="0" borderId="26" xfId="0" applyNumberFormat="1" applyFont="1" applyFill="1" applyBorder="1" applyAlignment="1">
      <alignment horizontal="center"/>
    </xf>
    <xf numFmtId="44" fontId="0" fillId="0" borderId="12" xfId="0" applyNumberFormat="1" applyFont="1" applyFill="1" applyBorder="1" applyAlignment="1">
      <alignment horizontal="center"/>
    </xf>
    <xf numFmtId="171" fontId="0" fillId="0" borderId="17" xfId="0" applyNumberFormat="1" applyFont="1" applyFill="1" applyBorder="1" applyAlignment="1">
      <alignment horizontal="center"/>
    </xf>
    <xf numFmtId="171" fontId="0" fillId="0" borderId="11" xfId="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171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22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171" fontId="0" fillId="0" borderId="16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vertical="center"/>
    </xf>
    <xf numFmtId="44" fontId="2" fillId="0" borderId="12" xfId="0" applyNumberFormat="1" applyFont="1" applyFill="1" applyBorder="1" applyAlignment="1">
      <alignment vertical="center"/>
    </xf>
    <xf numFmtId="44" fontId="2" fillId="0" borderId="14" xfId="0" applyNumberFormat="1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7" fontId="0" fillId="0" borderId="11" xfId="0" applyNumberFormat="1" applyFont="1" applyFill="1" applyBorder="1" applyAlignment="1">
      <alignment horizontal="center"/>
    </xf>
    <xf numFmtId="17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165" fontId="0" fillId="22" borderId="17" xfId="0" applyNumberFormat="1" applyFont="1" applyFill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0" borderId="12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17" fontId="0" fillId="0" borderId="11" xfId="0" applyNumberFormat="1" applyFont="1" applyFill="1" applyBorder="1" applyAlignment="1">
      <alignment horizontal="center"/>
    </xf>
    <xf numFmtId="17" fontId="0" fillId="0" borderId="16" xfId="0" applyNumberFormat="1" applyFont="1" applyFill="1" applyBorder="1" applyAlignment="1">
      <alignment horizontal="center"/>
    </xf>
    <xf numFmtId="17" fontId="0" fillId="0" borderId="23" xfId="0" applyNumberFormat="1" applyFill="1" applyBorder="1" applyAlignment="1">
      <alignment horizontal="center"/>
    </xf>
    <xf numFmtId="17" fontId="0" fillId="0" borderId="30" xfId="0" applyNumberFormat="1" applyFill="1" applyBorder="1" applyAlignment="1">
      <alignment horizontal="center"/>
    </xf>
    <xf numFmtId="17" fontId="0" fillId="0" borderId="32" xfId="0" applyNumberFormat="1" applyFill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17" fontId="0" fillId="0" borderId="15" xfId="0" applyNumberFormat="1" applyFill="1" applyBorder="1" applyAlignment="1">
      <alignment horizontal="center"/>
    </xf>
    <xf numFmtId="17" fontId="10" fillId="0" borderId="17" xfId="0" applyNumberFormat="1" applyFont="1" applyFill="1" applyBorder="1" applyAlignment="1">
      <alignment horizontal="center"/>
    </xf>
    <xf numFmtId="17" fontId="10" fillId="0" borderId="11" xfId="0" applyNumberFormat="1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22" borderId="30" xfId="0" applyNumberFormat="1" applyFont="1" applyFill="1" applyBorder="1" applyAlignment="1">
      <alignment horizontal="center"/>
    </xf>
    <xf numFmtId="3" fontId="0" fillId="22" borderId="22" xfId="0" applyNumberFormat="1" applyFont="1" applyFill="1" applyBorder="1" applyAlignment="1">
      <alignment horizontal="center"/>
    </xf>
    <xf numFmtId="166" fontId="0" fillId="22" borderId="27" xfId="0" applyNumberFormat="1" applyFont="1" applyFill="1" applyBorder="1" applyAlignment="1">
      <alignment horizontal="center"/>
    </xf>
    <xf numFmtId="165" fontId="0" fillId="0" borderId="37" xfId="0" applyNumberFormat="1" applyFont="1" applyFill="1" applyBorder="1" applyAlignment="1">
      <alignment horizontal="center"/>
    </xf>
    <xf numFmtId="165" fontId="0" fillId="0" borderId="35" xfId="0" applyNumberFormat="1" applyFont="1" applyFill="1" applyBorder="1" applyAlignment="1">
      <alignment horizontal="center"/>
    </xf>
    <xf numFmtId="4" fontId="0" fillId="22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7" fontId="0" fillId="22" borderId="28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44" fontId="0" fillId="0" borderId="31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44" fontId="0" fillId="0" borderId="20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75" fontId="0" fillId="0" borderId="16" xfId="0" applyNumberFormat="1" applyFont="1" applyFill="1" applyBorder="1" applyAlignment="1">
      <alignment horizontal="center"/>
    </xf>
    <xf numFmtId="44" fontId="0" fillId="0" borderId="25" xfId="0" applyNumberFormat="1" applyFont="1" applyFill="1" applyBorder="1" applyAlignment="1">
      <alignment horizontal="center"/>
    </xf>
    <xf numFmtId="44" fontId="0" fillId="0" borderId="21" xfId="0" applyNumberFormat="1" applyFont="1" applyFill="1" applyBorder="1" applyAlignment="1">
      <alignment horizontal="center"/>
    </xf>
    <xf numFmtId="2" fontId="0" fillId="22" borderId="17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" fontId="0" fillId="0" borderId="30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166" fontId="0" fillId="0" borderId="27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166" fontId="0" fillId="0" borderId="24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166" fontId="0" fillId="0" borderId="34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166" fontId="0" fillId="0" borderId="2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" fontId="0" fillId="0" borderId="13" xfId="0" applyNumberFormat="1" applyFont="1" applyFill="1" applyBorder="1" applyAlignment="1">
      <alignment horizontal="center"/>
    </xf>
    <xf numFmtId="14" fontId="0" fillId="0" borderId="37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171" fontId="0" fillId="0" borderId="13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7" fontId="0" fillId="0" borderId="44" xfId="0" applyNumberFormat="1" applyFont="1" applyFill="1" applyBorder="1" applyAlignment="1">
      <alignment horizontal="center"/>
    </xf>
    <xf numFmtId="14" fontId="0" fillId="0" borderId="3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71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71" fontId="0" fillId="0" borderId="12" xfId="0" applyNumberFormat="1" applyFont="1" applyFill="1" applyBorder="1" applyAlignment="1">
      <alignment horizontal="center"/>
    </xf>
    <xf numFmtId="17" fontId="0" fillId="0" borderId="18" xfId="0" applyNumberFormat="1" applyFont="1" applyFill="1" applyBorder="1" applyAlignment="1">
      <alignment horizontal="center"/>
    </xf>
    <xf numFmtId="17" fontId="0" fillId="0" borderId="45" xfId="0" applyNumberFormat="1" applyFont="1" applyFill="1" applyBorder="1" applyAlignment="1">
      <alignment horizontal="center"/>
    </xf>
    <xf numFmtId="14" fontId="0" fillId="0" borderId="46" xfId="0" applyNumberFormat="1" applyFont="1" applyFill="1" applyBorder="1" applyAlignment="1">
      <alignment horizontal="center"/>
    </xf>
    <xf numFmtId="171" fontId="0" fillId="0" borderId="16" xfId="0" applyNumberFormat="1" applyFont="1" applyFill="1" applyBorder="1" applyAlignment="1">
      <alignment horizontal="center"/>
    </xf>
    <xf numFmtId="171" fontId="0" fillId="22" borderId="17" xfId="0" applyNumberFormat="1" applyFont="1" applyFill="1" applyBorder="1" applyAlignment="1">
      <alignment horizontal="center"/>
    </xf>
    <xf numFmtId="44" fontId="2" fillId="22" borderId="17" xfId="0" applyNumberFormat="1" applyFont="1" applyFill="1" applyBorder="1" applyAlignment="1">
      <alignment vertical="center"/>
    </xf>
    <xf numFmtId="17" fontId="2" fillId="0" borderId="30" xfId="0" applyNumberFormat="1" applyFont="1" applyFill="1" applyBorder="1" applyAlignment="1">
      <alignment horizontal="center" vertical="center"/>
    </xf>
    <xf numFmtId="17" fontId="2" fillId="0" borderId="23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175" fontId="0" fillId="0" borderId="12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44" fontId="0" fillId="0" borderId="35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4" fontId="0" fillId="0" borderId="0" xfId="0" applyNumberFormat="1" applyFont="1" applyFill="1" applyAlignment="1">
      <alignment/>
    </xf>
    <xf numFmtId="42" fontId="0" fillId="0" borderId="0" xfId="0" applyNumberFormat="1" applyFont="1" applyFill="1" applyAlignment="1">
      <alignment/>
    </xf>
    <xf numFmtId="5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10" xfId="0" applyNumberFormat="1" applyFont="1" applyFill="1" applyBorder="1" applyAlignment="1">
      <alignment horizontal="center"/>
    </xf>
    <xf numFmtId="166" fontId="0" fillId="0" borderId="43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 horizontal="center"/>
    </xf>
    <xf numFmtId="17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44" fontId="0" fillId="0" borderId="34" xfId="0" applyNumberFormat="1" applyFont="1" applyFill="1" applyBorder="1" applyAlignment="1">
      <alignment horizontal="center" vertical="center"/>
    </xf>
    <xf numFmtId="44" fontId="0" fillId="0" borderId="12" xfId="0" applyNumberFormat="1" applyFont="1" applyFill="1" applyBorder="1" applyAlignment="1">
      <alignment horizontal="center" vertical="center"/>
    </xf>
    <xf numFmtId="0" fontId="11" fillId="22" borderId="15" xfId="0" applyFont="1" applyFill="1" applyBorder="1" applyAlignment="1">
      <alignment vertical="center"/>
    </xf>
    <xf numFmtId="44" fontId="2" fillId="22" borderId="11" xfId="0" applyNumberFormat="1" applyFont="1" applyFill="1" applyBorder="1" applyAlignment="1">
      <alignment vertical="center"/>
    </xf>
    <xf numFmtId="3" fontId="0" fillId="22" borderId="17" xfId="0" applyNumberFormat="1" applyFont="1" applyFill="1" applyBorder="1" applyAlignment="1">
      <alignment horizontal="center"/>
    </xf>
    <xf numFmtId="44" fontId="0" fillId="22" borderId="31" xfId="0" applyNumberFormat="1" applyFont="1" applyFill="1" applyBorder="1" applyAlignment="1">
      <alignment horizontal="center"/>
    </xf>
    <xf numFmtId="44" fontId="0" fillId="22" borderId="17" xfId="0" applyNumberFormat="1" applyFont="1" applyFill="1" applyBorder="1" applyAlignment="1">
      <alignment horizontal="center"/>
    </xf>
    <xf numFmtId="17" fontId="2" fillId="22" borderId="29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22" borderId="14" xfId="0" applyNumberFormat="1" applyFont="1" applyFill="1" applyBorder="1" applyAlignment="1">
      <alignment horizontal="center"/>
    </xf>
    <xf numFmtId="44" fontId="0" fillId="22" borderId="24" xfId="0" applyNumberFormat="1" applyFont="1" applyFill="1" applyBorder="1" applyAlignment="1">
      <alignment horizontal="center"/>
    </xf>
    <xf numFmtId="44" fontId="0" fillId="22" borderId="11" xfId="0" applyNumberFormat="1" applyFont="1" applyFill="1" applyBorder="1" applyAlignment="1">
      <alignment horizontal="center"/>
    </xf>
    <xf numFmtId="44" fontId="0" fillId="22" borderId="20" xfId="0" applyNumberFormat="1" applyFont="1" applyFill="1" applyBorder="1" applyAlignment="1">
      <alignment horizontal="center"/>
    </xf>
    <xf numFmtId="175" fontId="0" fillId="0" borderId="47" xfId="0" applyNumberFormat="1" applyFill="1" applyBorder="1" applyAlignment="1">
      <alignment horizontal="center"/>
    </xf>
    <xf numFmtId="175" fontId="0" fillId="0" borderId="18" xfId="0" applyNumberFormat="1" applyFill="1" applyBorder="1" applyAlignment="1">
      <alignment horizontal="center"/>
    </xf>
    <xf numFmtId="175" fontId="0" fillId="0" borderId="46" xfId="0" applyNumberFormat="1" applyFill="1" applyBorder="1" applyAlignment="1">
      <alignment horizontal="center"/>
    </xf>
    <xf numFmtId="44" fontId="0" fillId="0" borderId="43" xfId="0" applyNumberFormat="1" applyFont="1" applyFill="1" applyBorder="1" applyAlignment="1">
      <alignment horizontal="center"/>
    </xf>
    <xf numFmtId="4" fontId="0" fillId="22" borderId="11" xfId="0" applyNumberFormat="1" applyFont="1" applyFill="1" applyBorder="1" applyAlignment="1">
      <alignment horizontal="center"/>
    </xf>
    <xf numFmtId="166" fontId="0" fillId="22" borderId="11" xfId="0" applyNumberFormat="1" applyFont="1" applyFill="1" applyBorder="1" applyAlignment="1">
      <alignment horizontal="center"/>
    </xf>
    <xf numFmtId="42" fontId="0" fillId="22" borderId="11" xfId="0" applyNumberFormat="1" applyFont="1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/>
    </xf>
    <xf numFmtId="165" fontId="0" fillId="22" borderId="11" xfId="0" applyNumberFormat="1" applyFont="1" applyFill="1" applyBorder="1" applyAlignment="1">
      <alignment horizontal="center"/>
    </xf>
    <xf numFmtId="166" fontId="0" fillId="22" borderId="24" xfId="0" applyNumberFormat="1" applyFont="1" applyFill="1" applyBorder="1" applyAlignment="1">
      <alignment horizontal="center"/>
    </xf>
    <xf numFmtId="171" fontId="0" fillId="22" borderId="11" xfId="0" applyNumberFormat="1" applyFont="1" applyFill="1" applyBorder="1" applyAlignment="1">
      <alignment horizontal="center"/>
    </xf>
    <xf numFmtId="44" fontId="2" fillId="22" borderId="10" xfId="0" applyNumberFormat="1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horizontal="center"/>
    </xf>
    <xf numFmtId="17" fontId="2" fillId="0" borderId="11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175" fontId="2" fillId="0" borderId="18" xfId="0" applyNumberFormat="1" applyFont="1" applyFill="1" applyBorder="1" applyAlignment="1">
      <alignment horizontal="center"/>
    </xf>
    <xf numFmtId="44" fontId="2" fillId="0" borderId="33" xfId="0" applyNumberFormat="1" applyFont="1" applyFill="1" applyBorder="1" applyAlignment="1">
      <alignment horizontal="center"/>
    </xf>
    <xf numFmtId="44" fontId="2" fillId="0" borderId="11" xfId="0" applyNumberFormat="1" applyFont="1" applyFill="1" applyBorder="1" applyAlignment="1">
      <alignment horizontal="center"/>
    </xf>
    <xf numFmtId="44" fontId="2" fillId="0" borderId="2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4" fontId="0" fillId="0" borderId="0" xfId="0" applyNumberFormat="1" applyAlignment="1">
      <alignment/>
    </xf>
    <xf numFmtId="14" fontId="0" fillId="0" borderId="44" xfId="0" applyNumberFormat="1" applyFill="1" applyBorder="1" applyAlignment="1">
      <alignment horizontal="center"/>
    </xf>
    <xf numFmtId="0" fontId="11" fillId="0" borderId="15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44" fontId="2" fillId="0" borderId="29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4" fontId="2" fillId="24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" fontId="0" fillId="0" borderId="17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44" fontId="0" fillId="0" borderId="31" xfId="0" applyNumberFormat="1" applyFont="1" applyFill="1" applyBorder="1" applyAlignment="1">
      <alignment horizontal="center"/>
    </xf>
    <xf numFmtId="44" fontId="0" fillId="0" borderId="17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175" fontId="0" fillId="0" borderId="18" xfId="0" applyNumberFormat="1" applyFont="1" applyFill="1" applyBorder="1" applyAlignment="1">
      <alignment horizontal="center"/>
    </xf>
    <xf numFmtId="44" fontId="0" fillId="0" borderId="24" xfId="0" applyNumberFormat="1" applyFont="1" applyFill="1" applyBorder="1" applyAlignment="1">
      <alignment horizontal="center"/>
    </xf>
    <xf numFmtId="44" fontId="0" fillId="0" borderId="11" xfId="0" applyNumberFormat="1" applyFont="1" applyFill="1" applyBorder="1" applyAlignment="1">
      <alignment horizontal="center"/>
    </xf>
    <xf numFmtId="44" fontId="0" fillId="0" borderId="20" xfId="0" applyNumberFormat="1" applyFont="1" applyFill="1" applyBorder="1" applyAlignment="1">
      <alignment horizontal="center"/>
    </xf>
    <xf numFmtId="175" fontId="0" fillId="0" borderId="18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/>
    </xf>
    <xf numFmtId="169" fontId="0" fillId="22" borderId="17" xfId="0" applyNumberFormat="1" applyFont="1" applyFill="1" applyBorder="1" applyAlignment="1">
      <alignment horizontal="center"/>
    </xf>
    <xf numFmtId="169" fontId="0" fillId="22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2" fontId="0" fillId="0" borderId="0" xfId="0" applyNumberFormat="1" applyAlignment="1">
      <alignment horizontal="center"/>
    </xf>
    <xf numFmtId="14" fontId="0" fillId="22" borderId="20" xfId="0" applyNumberFormat="1" applyFont="1" applyFill="1" applyBorder="1" applyAlignment="1">
      <alignment horizontal="center"/>
    </xf>
    <xf numFmtId="17" fontId="0" fillId="0" borderId="15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3" fontId="0" fillId="22" borderId="17" xfId="0" applyNumberFormat="1" applyFont="1" applyFill="1" applyBorder="1" applyAlignment="1">
      <alignment horizontal="center"/>
    </xf>
    <xf numFmtId="3" fontId="0" fillId="22" borderId="11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2" fillId="22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" fontId="0" fillId="25" borderId="17" xfId="0" applyNumberFormat="1" applyFont="1" applyFill="1" applyBorder="1" applyAlignment="1">
      <alignment horizontal="center"/>
    </xf>
    <xf numFmtId="17" fontId="0" fillId="25" borderId="28" xfId="0" applyNumberFormat="1" applyFont="1" applyFill="1" applyBorder="1" applyAlignment="1">
      <alignment horizontal="center"/>
    </xf>
    <xf numFmtId="14" fontId="0" fillId="25" borderId="17" xfId="0" applyNumberFormat="1" applyFill="1" applyBorder="1" applyAlignment="1">
      <alignment horizontal="center"/>
    </xf>
    <xf numFmtId="3" fontId="0" fillId="25" borderId="30" xfId="0" applyNumberFormat="1" applyFont="1" applyFill="1" applyBorder="1" applyAlignment="1">
      <alignment horizontal="center"/>
    </xf>
    <xf numFmtId="4" fontId="0" fillId="25" borderId="17" xfId="0" applyNumberFormat="1" applyFont="1" applyFill="1" applyBorder="1" applyAlignment="1">
      <alignment horizontal="center"/>
    </xf>
    <xf numFmtId="166" fontId="0" fillId="25" borderId="17" xfId="0" applyNumberFormat="1" applyFont="1" applyFill="1" applyBorder="1" applyAlignment="1">
      <alignment horizontal="center"/>
    </xf>
    <xf numFmtId="42" fontId="0" fillId="25" borderId="17" xfId="0" applyNumberFormat="1" applyFont="1" applyFill="1" applyBorder="1" applyAlignment="1">
      <alignment horizontal="center"/>
    </xf>
    <xf numFmtId="167" fontId="0" fillId="25" borderId="0" xfId="0" applyNumberFormat="1" applyFill="1" applyAlignment="1">
      <alignment horizontal="center"/>
    </xf>
    <xf numFmtId="170" fontId="0" fillId="2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3" fontId="0" fillId="25" borderId="0" xfId="0" applyNumberFormat="1" applyFont="1" applyFill="1" applyAlignment="1">
      <alignment/>
    </xf>
    <xf numFmtId="17" fontId="0" fillId="25" borderId="11" xfId="0" applyNumberFormat="1" applyFont="1" applyFill="1" applyBorder="1" applyAlignment="1">
      <alignment horizontal="center"/>
    </xf>
    <xf numFmtId="17" fontId="0" fillId="25" borderId="26" xfId="0" applyNumberFormat="1" applyFont="1" applyFill="1" applyBorder="1" applyAlignment="1">
      <alignment horizontal="center"/>
    </xf>
    <xf numFmtId="14" fontId="0" fillId="25" borderId="11" xfId="0" applyNumberFormat="1" applyFont="1" applyFill="1" applyBorder="1" applyAlignment="1">
      <alignment horizontal="center"/>
    </xf>
    <xf numFmtId="3" fontId="0" fillId="25" borderId="22" xfId="0" applyNumberFormat="1" applyFont="1" applyFill="1" applyBorder="1" applyAlignment="1">
      <alignment horizontal="center"/>
    </xf>
    <xf numFmtId="4" fontId="0" fillId="25" borderId="11" xfId="0" applyNumberFormat="1" applyFont="1" applyFill="1" applyBorder="1" applyAlignment="1">
      <alignment horizontal="center"/>
    </xf>
    <xf numFmtId="166" fontId="0" fillId="25" borderId="11" xfId="0" applyNumberFormat="1" applyFont="1" applyFill="1" applyBorder="1" applyAlignment="1">
      <alignment horizontal="center"/>
    </xf>
    <xf numFmtId="42" fontId="0" fillId="25" borderId="11" xfId="0" applyNumberFormat="1" applyFont="1" applyFill="1" applyBorder="1" applyAlignment="1">
      <alignment horizontal="center"/>
    </xf>
    <xf numFmtId="14" fontId="0" fillId="25" borderId="12" xfId="0" applyNumberFormat="1" applyFont="1" applyFill="1" applyBorder="1" applyAlignment="1">
      <alignment horizontal="center"/>
    </xf>
    <xf numFmtId="3" fontId="0" fillId="25" borderId="24" xfId="0" applyNumberFormat="1" applyFont="1" applyFill="1" applyBorder="1" applyAlignment="1">
      <alignment horizontal="center"/>
    </xf>
    <xf numFmtId="17" fontId="0" fillId="25" borderId="16" xfId="0" applyNumberFormat="1" applyFont="1" applyFill="1" applyBorder="1" applyAlignment="1">
      <alignment horizontal="center"/>
    </xf>
    <xf numFmtId="17" fontId="0" fillId="25" borderId="23" xfId="0" applyNumberFormat="1" applyFont="1" applyFill="1" applyBorder="1" applyAlignment="1">
      <alignment horizontal="center"/>
    </xf>
    <xf numFmtId="14" fontId="0" fillId="25" borderId="16" xfId="0" applyNumberFormat="1" applyFont="1" applyFill="1" applyBorder="1" applyAlignment="1">
      <alignment horizontal="center"/>
    </xf>
    <xf numFmtId="166" fontId="0" fillId="25" borderId="16" xfId="0" applyNumberFormat="1" applyFont="1" applyFill="1" applyBorder="1" applyAlignment="1">
      <alignment horizontal="center"/>
    </xf>
    <xf numFmtId="42" fontId="0" fillId="25" borderId="16" xfId="0" applyNumberFormat="1" applyFont="1" applyFill="1" applyBorder="1" applyAlignment="1">
      <alignment horizontal="center"/>
    </xf>
    <xf numFmtId="42" fontId="0" fillId="25" borderId="0" xfId="0" applyNumberFormat="1" applyFont="1" applyFill="1" applyAlignment="1">
      <alignment/>
    </xf>
    <xf numFmtId="0" fontId="0" fillId="25" borderId="0" xfId="0" applyFont="1" applyFill="1" applyAlignment="1">
      <alignment vertical="center"/>
    </xf>
    <xf numFmtId="17" fontId="2" fillId="25" borderId="22" xfId="0" applyNumberFormat="1" applyFont="1" applyFill="1" applyBorder="1" applyAlignment="1">
      <alignment horizontal="center" vertical="center"/>
    </xf>
    <xf numFmtId="44" fontId="0" fillId="25" borderId="17" xfId="0" applyNumberFormat="1" applyFont="1" applyFill="1" applyBorder="1" applyAlignment="1">
      <alignment horizontal="center" vertical="center"/>
    </xf>
    <xf numFmtId="44" fontId="0" fillId="25" borderId="27" xfId="0" applyNumberFormat="1" applyFont="1" applyFill="1" applyBorder="1" applyAlignment="1">
      <alignment horizontal="center" vertical="center"/>
    </xf>
    <xf numFmtId="44" fontId="2" fillId="25" borderId="17" xfId="0" applyNumberFormat="1" applyFont="1" applyFill="1" applyBorder="1" applyAlignment="1">
      <alignment vertical="center"/>
    </xf>
    <xf numFmtId="0" fontId="2" fillId="25" borderId="13" xfId="0" applyFont="1" applyFill="1" applyBorder="1" applyAlignment="1">
      <alignment vertical="center"/>
    </xf>
    <xf numFmtId="0" fontId="2" fillId="25" borderId="0" xfId="0" applyFont="1" applyFill="1" applyBorder="1" applyAlignment="1">
      <alignment vertical="center"/>
    </xf>
    <xf numFmtId="44" fontId="0" fillId="25" borderId="11" xfId="0" applyNumberFormat="1" applyFont="1" applyFill="1" applyBorder="1" applyAlignment="1">
      <alignment horizontal="center" vertical="center"/>
    </xf>
    <xf numFmtId="44" fontId="0" fillId="25" borderId="24" xfId="0" applyNumberFormat="1" applyFont="1" applyFill="1" applyBorder="1" applyAlignment="1">
      <alignment horizontal="center" vertical="center"/>
    </xf>
    <xf numFmtId="44" fontId="2" fillId="25" borderId="11" xfId="0" applyNumberFormat="1" applyFont="1" applyFill="1" applyBorder="1" applyAlignment="1">
      <alignment vertical="center"/>
    </xf>
    <xf numFmtId="0" fontId="11" fillId="25" borderId="15" xfId="0" applyFont="1" applyFill="1" applyBorder="1" applyAlignment="1">
      <alignment vertical="center"/>
    </xf>
    <xf numFmtId="0" fontId="11" fillId="25" borderId="0" xfId="0" applyFont="1" applyFill="1" applyBorder="1" applyAlignment="1">
      <alignment vertical="center"/>
    </xf>
    <xf numFmtId="17" fontId="2" fillId="25" borderId="29" xfId="0" applyNumberFormat="1" applyFont="1" applyFill="1" applyBorder="1" applyAlignment="1">
      <alignment horizontal="center" vertical="center"/>
    </xf>
    <xf numFmtId="44" fontId="0" fillId="25" borderId="10" xfId="0" applyNumberFormat="1" applyFont="1" applyFill="1" applyBorder="1" applyAlignment="1">
      <alignment horizontal="center" vertical="center"/>
    </xf>
    <xf numFmtId="44" fontId="0" fillId="25" borderId="43" xfId="0" applyNumberFormat="1" applyFont="1" applyFill="1" applyBorder="1" applyAlignment="1">
      <alignment horizontal="center" vertical="center"/>
    </xf>
    <xf numFmtId="44" fontId="2" fillId="25" borderId="10" xfId="0" applyNumberFormat="1" applyFont="1" applyFill="1" applyBorder="1" applyAlignment="1">
      <alignment vertical="center"/>
    </xf>
    <xf numFmtId="44" fontId="2" fillId="25" borderId="0" xfId="0" applyNumberFormat="1" applyFont="1" applyFill="1" applyBorder="1" applyAlignment="1">
      <alignment vertical="center"/>
    </xf>
    <xf numFmtId="0" fontId="2" fillId="25" borderId="15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3" fontId="0" fillId="25" borderId="30" xfId="0" applyNumberFormat="1" applyFont="1" applyFill="1" applyBorder="1" applyAlignment="1">
      <alignment horizontal="center"/>
    </xf>
    <xf numFmtId="3" fontId="0" fillId="25" borderId="17" xfId="0" applyNumberFormat="1" applyFont="1" applyFill="1" applyBorder="1" applyAlignment="1">
      <alignment horizontal="center"/>
    </xf>
    <xf numFmtId="3" fontId="0" fillId="25" borderId="27" xfId="0" applyNumberFormat="1" applyFont="1" applyFill="1" applyBorder="1" applyAlignment="1">
      <alignment horizontal="center"/>
    </xf>
    <xf numFmtId="169" fontId="0" fillId="25" borderId="17" xfId="0" applyNumberFormat="1" applyFont="1" applyFill="1" applyBorder="1" applyAlignment="1">
      <alignment horizontal="center"/>
    </xf>
    <xf numFmtId="44" fontId="0" fillId="25" borderId="31" xfId="0" applyNumberFormat="1" applyFont="1" applyFill="1" applyBorder="1" applyAlignment="1">
      <alignment horizontal="center"/>
    </xf>
    <xf numFmtId="44" fontId="0" fillId="25" borderId="17" xfId="0" applyNumberFormat="1" applyFont="1" applyFill="1" applyBorder="1" applyAlignment="1">
      <alignment horizontal="center"/>
    </xf>
    <xf numFmtId="3" fontId="0" fillId="25" borderId="22" xfId="0" applyNumberFormat="1" applyFont="1" applyFill="1" applyBorder="1" applyAlignment="1">
      <alignment horizontal="center"/>
    </xf>
    <xf numFmtId="3" fontId="0" fillId="25" borderId="14" xfId="0" applyNumberFormat="1" applyFont="1" applyFill="1" applyBorder="1" applyAlignment="1">
      <alignment horizontal="center"/>
    </xf>
    <xf numFmtId="3" fontId="0" fillId="25" borderId="24" xfId="0" applyNumberFormat="1" applyFont="1" applyFill="1" applyBorder="1" applyAlignment="1">
      <alignment horizontal="center"/>
    </xf>
    <xf numFmtId="169" fontId="0" fillId="25" borderId="11" xfId="0" applyNumberFormat="1" applyFont="1" applyFill="1" applyBorder="1" applyAlignment="1">
      <alignment horizontal="center"/>
    </xf>
    <xf numFmtId="44" fontId="0" fillId="25" borderId="24" xfId="0" applyNumberFormat="1" applyFont="1" applyFill="1" applyBorder="1" applyAlignment="1">
      <alignment horizontal="center"/>
    </xf>
    <xf numFmtId="44" fontId="0" fillId="25" borderId="11" xfId="0" applyNumberFormat="1" applyFont="1" applyFill="1" applyBorder="1" applyAlignment="1">
      <alignment horizontal="center"/>
    </xf>
    <xf numFmtId="44" fontId="0" fillId="25" borderId="20" xfId="0" applyNumberFormat="1" applyFont="1" applyFill="1" applyBorder="1" applyAlignment="1">
      <alignment horizontal="center"/>
    </xf>
    <xf numFmtId="3" fontId="0" fillId="25" borderId="14" xfId="0" applyNumberFormat="1" applyFont="1" applyFill="1" applyBorder="1" applyAlignment="1">
      <alignment horizontal="center"/>
    </xf>
    <xf numFmtId="169" fontId="0" fillId="25" borderId="11" xfId="0" applyNumberFormat="1" applyFont="1" applyFill="1" applyBorder="1" applyAlignment="1">
      <alignment horizontal="center"/>
    </xf>
    <xf numFmtId="44" fontId="0" fillId="25" borderId="24" xfId="0" applyNumberFormat="1" applyFont="1" applyFill="1" applyBorder="1" applyAlignment="1">
      <alignment horizontal="center"/>
    </xf>
    <xf numFmtId="44" fontId="0" fillId="25" borderId="11" xfId="0" applyNumberFormat="1" applyFont="1" applyFill="1" applyBorder="1" applyAlignment="1">
      <alignment horizontal="center"/>
    </xf>
    <xf numFmtId="44" fontId="0" fillId="25" borderId="20" xfId="0" applyNumberFormat="1" applyFont="1" applyFill="1" applyBorder="1" applyAlignment="1">
      <alignment horizontal="center"/>
    </xf>
    <xf numFmtId="44" fontId="0" fillId="25" borderId="33" xfId="0" applyNumberFormat="1" applyFont="1" applyFill="1" applyBorder="1" applyAlignment="1">
      <alignment horizontal="center"/>
    </xf>
    <xf numFmtId="3" fontId="0" fillId="25" borderId="11" xfId="0" applyNumberFormat="1" applyFont="1" applyFill="1" applyBorder="1" applyAlignment="1">
      <alignment horizontal="center"/>
    </xf>
    <xf numFmtId="1" fontId="0" fillId="25" borderId="25" xfId="0" applyNumberFormat="1" applyFont="1" applyFill="1" applyBorder="1" applyAlignment="1">
      <alignment horizontal="center"/>
    </xf>
    <xf numFmtId="169" fontId="0" fillId="25" borderId="16" xfId="0" applyNumberFormat="1" applyFont="1" applyFill="1" applyBorder="1" applyAlignment="1">
      <alignment horizontal="center"/>
    </xf>
    <xf numFmtId="44" fontId="0" fillId="25" borderId="43" xfId="0" applyNumberFormat="1" applyFont="1" applyFill="1" applyBorder="1" applyAlignment="1">
      <alignment horizontal="center"/>
    </xf>
    <xf numFmtId="44" fontId="0" fillId="25" borderId="16" xfId="0" applyNumberFormat="1" applyFont="1" applyFill="1" applyBorder="1" applyAlignment="1">
      <alignment horizontal="center"/>
    </xf>
    <xf numFmtId="44" fontId="0" fillId="25" borderId="21" xfId="0" applyNumberFormat="1" applyFont="1" applyFill="1" applyBorder="1" applyAlignment="1">
      <alignment horizontal="center"/>
    </xf>
    <xf numFmtId="3" fontId="0" fillId="25" borderId="17" xfId="0" applyNumberFormat="1" applyFont="1" applyFill="1" applyBorder="1" applyAlignment="1">
      <alignment horizontal="center"/>
    </xf>
    <xf numFmtId="171" fontId="0" fillId="25" borderId="17" xfId="0" applyNumberFormat="1" applyFont="1" applyFill="1" applyBorder="1" applyAlignment="1">
      <alignment horizontal="center"/>
    </xf>
    <xf numFmtId="3" fontId="0" fillId="25" borderId="0" xfId="0" applyNumberFormat="1" applyFont="1" applyFill="1" applyBorder="1" applyAlignment="1">
      <alignment/>
    </xf>
    <xf numFmtId="17" fontId="0" fillId="25" borderId="14" xfId="0" applyNumberFormat="1" applyFont="1" applyFill="1" applyBorder="1" applyAlignment="1">
      <alignment horizontal="center"/>
    </xf>
    <xf numFmtId="171" fontId="0" fillId="25" borderId="11" xfId="0" applyNumberFormat="1" applyFont="1" applyFill="1" applyBorder="1" applyAlignment="1">
      <alignment horizontal="center"/>
    </xf>
    <xf numFmtId="166" fontId="0" fillId="25" borderId="24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166" fontId="0" fillId="25" borderId="34" xfId="0" applyNumberFormat="1" applyFont="1" applyFill="1" applyBorder="1" applyAlignment="1">
      <alignment horizontal="center"/>
    </xf>
    <xf numFmtId="166" fontId="0" fillId="25" borderId="12" xfId="0" applyNumberFormat="1" applyFont="1" applyFill="1" applyBorder="1" applyAlignment="1">
      <alignment horizontal="center"/>
    </xf>
    <xf numFmtId="166" fontId="0" fillId="25" borderId="22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3" fontId="0" fillId="25" borderId="25" xfId="0" applyNumberFormat="1" applyFont="1" applyFill="1" applyBorder="1" applyAlignment="1">
      <alignment horizontal="center"/>
    </xf>
    <xf numFmtId="3" fontId="0" fillId="25" borderId="10" xfId="0" applyNumberFormat="1" applyFont="1" applyFill="1" applyBorder="1" applyAlignment="1">
      <alignment horizontal="center"/>
    </xf>
    <xf numFmtId="3" fontId="0" fillId="25" borderId="16" xfId="0" applyNumberFormat="1" applyFont="1" applyFill="1" applyBorder="1" applyAlignment="1">
      <alignment horizontal="center"/>
    </xf>
    <xf numFmtId="171" fontId="0" fillId="25" borderId="16" xfId="0" applyNumberFormat="1" applyFont="1" applyFill="1" applyBorder="1" applyAlignment="1">
      <alignment horizontal="center"/>
    </xf>
    <xf numFmtId="166" fontId="0" fillId="25" borderId="43" xfId="0" applyNumberFormat="1" applyFont="1" applyFill="1" applyBorder="1" applyAlignment="1">
      <alignment horizontal="center"/>
    </xf>
    <xf numFmtId="166" fontId="0" fillId="25" borderId="10" xfId="0" applyNumberFormat="1" applyFont="1" applyFill="1" applyBorder="1" applyAlignment="1">
      <alignment horizontal="center"/>
    </xf>
    <xf numFmtId="166" fontId="0" fillId="25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9" fontId="0" fillId="0" borderId="48" xfId="0" applyNumberFormat="1" applyBorder="1" applyAlignment="1">
      <alignment horizontal="center"/>
    </xf>
    <xf numFmtId="3" fontId="0" fillId="25" borderId="34" xfId="0" applyNumberFormat="1" applyFont="1" applyFill="1" applyBorder="1" applyAlignment="1">
      <alignment horizontal="center"/>
    </xf>
    <xf numFmtId="4" fontId="0" fillId="25" borderId="12" xfId="0" applyNumberFormat="1" applyFont="1" applyFill="1" applyBorder="1" applyAlignment="1">
      <alignment horizontal="center"/>
    </xf>
    <xf numFmtId="14" fontId="0" fillId="22" borderId="17" xfId="0" applyNumberFormat="1" applyFont="1" applyFill="1" applyBorder="1" applyAlignment="1">
      <alignment horizontal="center"/>
    </xf>
    <xf numFmtId="3" fontId="0" fillId="22" borderId="27" xfId="0" applyNumberFormat="1" applyFill="1" applyBorder="1" applyAlignment="1">
      <alignment horizontal="center"/>
    </xf>
    <xf numFmtId="3" fontId="0" fillId="22" borderId="24" xfId="0" applyNumberFormat="1" applyFill="1" applyBorder="1" applyAlignment="1">
      <alignment horizontal="center"/>
    </xf>
    <xf numFmtId="17" fontId="10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17" fontId="10" fillId="0" borderId="16" xfId="0" applyNumberFormat="1" applyFont="1" applyFill="1" applyBorder="1" applyAlignment="1">
      <alignment horizontal="center"/>
    </xf>
    <xf numFmtId="42" fontId="10" fillId="0" borderId="0" xfId="0" applyNumberFormat="1" applyFont="1" applyFill="1" applyAlignment="1">
      <alignment/>
    </xf>
    <xf numFmtId="1" fontId="0" fillId="22" borderId="27" xfId="0" applyNumberFormat="1" applyFont="1" applyFill="1" applyBorder="1" applyAlignment="1">
      <alignment horizontal="center"/>
    </xf>
    <xf numFmtId="1" fontId="0" fillId="22" borderId="24" xfId="0" applyNumberFormat="1" applyFont="1" applyFill="1" applyBorder="1" applyAlignment="1">
      <alignment horizontal="center"/>
    </xf>
    <xf numFmtId="2" fontId="0" fillId="25" borderId="17" xfId="0" applyNumberFormat="1" applyFont="1" applyFill="1" applyBorder="1" applyAlignment="1">
      <alignment horizontal="center"/>
    </xf>
    <xf numFmtId="165" fontId="0" fillId="25" borderId="17" xfId="0" applyNumberFormat="1" applyFont="1" applyFill="1" applyBorder="1" applyAlignment="1">
      <alignment horizontal="center"/>
    </xf>
    <xf numFmtId="166" fontId="0" fillId="25" borderId="27" xfId="0" applyNumberFormat="1" applyFont="1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/>
    </xf>
    <xf numFmtId="165" fontId="0" fillId="25" borderId="11" xfId="0" applyNumberFormat="1" applyFont="1" applyFill="1" applyBorder="1" applyAlignment="1">
      <alignment horizontal="center"/>
    </xf>
    <xf numFmtId="14" fontId="0" fillId="25" borderId="20" xfId="0" applyNumberFormat="1" applyFont="1" applyFill="1" applyBorder="1" applyAlignment="1">
      <alignment horizontal="center"/>
    </xf>
    <xf numFmtId="165" fontId="0" fillId="25" borderId="16" xfId="0" applyNumberFormat="1" applyFont="1" applyFill="1" applyBorder="1" applyAlignment="1">
      <alignment horizontal="center"/>
    </xf>
    <xf numFmtId="166" fontId="0" fillId="25" borderId="25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6" fontId="10" fillId="0" borderId="0" xfId="0" applyNumberFormat="1" applyFont="1" applyFill="1" applyAlignment="1">
      <alignment/>
    </xf>
    <xf numFmtId="14" fontId="0" fillId="22" borderId="31" xfId="0" applyNumberFormat="1" applyFont="1" applyFill="1" applyBorder="1" applyAlignment="1">
      <alignment horizontal="center"/>
    </xf>
    <xf numFmtId="17" fontId="0" fillId="25" borderId="15" xfId="0" applyNumberFormat="1" applyFont="1" applyFill="1" applyBorder="1" applyAlignment="1">
      <alignment horizontal="center"/>
    </xf>
    <xf numFmtId="17" fontId="0" fillId="22" borderId="17" xfId="0" applyNumberFormat="1" applyFont="1" applyFill="1" applyBorder="1" applyAlignment="1">
      <alignment horizontal="center"/>
    </xf>
    <xf numFmtId="17" fontId="0" fillId="22" borderId="11" xfId="0" applyNumberFormat="1" applyFont="1" applyFill="1" applyBorder="1" applyAlignment="1">
      <alignment horizontal="center"/>
    </xf>
    <xf numFmtId="17" fontId="0" fillId="22" borderId="14" xfId="0" applyNumberFormat="1" applyFont="1" applyFill="1" applyBorder="1" applyAlignment="1">
      <alignment horizontal="center"/>
    </xf>
    <xf numFmtId="3" fontId="10" fillId="22" borderId="0" xfId="0" applyNumberFormat="1" applyFont="1" applyFill="1" applyBorder="1" applyAlignment="1">
      <alignment/>
    </xf>
    <xf numFmtId="0" fontId="10" fillId="22" borderId="0" xfId="0" applyFont="1" applyFill="1" applyAlignment="1">
      <alignment/>
    </xf>
    <xf numFmtId="0" fontId="10" fillId="22" borderId="0" xfId="0" applyFont="1" applyFill="1" applyBorder="1" applyAlignment="1">
      <alignment/>
    </xf>
    <xf numFmtId="0" fontId="10" fillId="22" borderId="0" xfId="0" applyFont="1" applyFill="1" applyBorder="1" applyAlignment="1">
      <alignment horizontal="center"/>
    </xf>
    <xf numFmtId="166" fontId="10" fillId="22" borderId="0" xfId="0" applyNumberFormat="1" applyFont="1" applyFill="1" applyAlignment="1">
      <alignment/>
    </xf>
    <xf numFmtId="44" fontId="0" fillId="22" borderId="17" xfId="0" applyNumberFormat="1" applyFont="1" applyFill="1" applyBorder="1" applyAlignment="1">
      <alignment horizontal="center" vertical="center"/>
    </xf>
    <xf numFmtId="44" fontId="0" fillId="22" borderId="27" xfId="0" applyNumberFormat="1" applyFont="1" applyFill="1" applyBorder="1" applyAlignment="1">
      <alignment horizontal="center" vertical="center"/>
    </xf>
    <xf numFmtId="44" fontId="0" fillId="22" borderId="11" xfId="0" applyNumberFormat="1" applyFont="1" applyFill="1" applyBorder="1" applyAlignment="1">
      <alignment horizontal="center" vertical="center"/>
    </xf>
    <xf numFmtId="44" fontId="0" fillId="22" borderId="24" xfId="0" applyNumberFormat="1" applyFont="1" applyFill="1" applyBorder="1" applyAlignment="1">
      <alignment horizontal="center" vertical="center"/>
    </xf>
    <xf numFmtId="44" fontId="0" fillId="22" borderId="10" xfId="0" applyNumberFormat="1" applyFont="1" applyFill="1" applyBorder="1" applyAlignment="1">
      <alignment horizontal="center" vertical="center"/>
    </xf>
    <xf numFmtId="44" fontId="0" fillId="22" borderId="43" xfId="0" applyNumberFormat="1" applyFont="1" applyFill="1" applyBorder="1" applyAlignment="1">
      <alignment horizontal="center" vertical="center"/>
    </xf>
    <xf numFmtId="3" fontId="0" fillId="22" borderId="24" xfId="0" applyNumberFormat="1" applyFont="1" applyFill="1" applyBorder="1" applyAlignment="1">
      <alignment horizontal="center"/>
    </xf>
    <xf numFmtId="3" fontId="0" fillId="22" borderId="0" xfId="0" applyNumberFormat="1" applyFont="1" applyFill="1" applyBorder="1" applyAlignment="1">
      <alignment/>
    </xf>
    <xf numFmtId="0" fontId="0" fillId="22" borderId="0" xfId="0" applyFont="1" applyFill="1" applyAlignment="1">
      <alignment/>
    </xf>
    <xf numFmtId="0" fontId="2" fillId="22" borderId="15" xfId="0" applyFont="1" applyFill="1" applyBorder="1" applyAlignment="1">
      <alignment vertical="center"/>
    </xf>
    <xf numFmtId="14" fontId="0" fillId="22" borderId="11" xfId="0" applyNumberFormat="1" applyFont="1" applyFill="1" applyBorder="1" applyAlignment="1">
      <alignment horizontal="center"/>
    </xf>
    <xf numFmtId="3" fontId="0" fillId="22" borderId="24" xfId="0" applyNumberFormat="1" applyFont="1" applyFill="1" applyBorder="1" applyAlignment="1">
      <alignment horizontal="center"/>
    </xf>
    <xf numFmtId="1" fontId="0" fillId="22" borderId="24" xfId="0" applyNumberFormat="1" applyFont="1" applyFill="1" applyBorder="1" applyAlignment="1">
      <alignment horizontal="center"/>
    </xf>
    <xf numFmtId="17" fontId="10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22" borderId="0" xfId="0" applyFont="1" applyFill="1" applyBorder="1" applyAlignment="1">
      <alignment/>
    </xf>
    <xf numFmtId="17" fontId="0" fillId="0" borderId="26" xfId="0" applyNumberFormat="1" applyFill="1" applyBorder="1" applyAlignment="1">
      <alignment horizontal="center"/>
    </xf>
    <xf numFmtId="17" fontId="0" fillId="0" borderId="35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0" fillId="0" borderId="22" xfId="0" applyNumberFormat="1" applyFill="1" applyBorder="1" applyAlignment="1">
      <alignment horizontal="center"/>
    </xf>
    <xf numFmtId="17" fontId="0" fillId="0" borderId="2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10" fillId="22" borderId="11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horizontal="left" vertical="center"/>
    </xf>
    <xf numFmtId="44" fontId="2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RAC Heating Water BTU Consumption</a:t>
            </a:r>
          </a:p>
        </c:rich>
      </c:tx>
      <c:layout>
        <c:manualLayout>
          <c:xMode val="factor"/>
          <c:yMode val="factor"/>
          <c:x val="0.018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7975"/>
          <c:w val="0.95325"/>
          <c:h val="0.8955"/>
        </c:manualLayout>
      </c:layout>
      <c:lineChart>
        <c:grouping val="standard"/>
        <c:varyColors val="0"/>
        <c:ser>
          <c:idx val="0"/>
          <c:order val="0"/>
          <c:tx>
            <c:v>Million BTU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HTHW!$A$57:$A$140</c:f>
              <c:strCache>
                <c:ptCount val="84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38195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  <c:pt idx="72">
                  <c:v>39995</c:v>
                </c:pt>
                <c:pt idx="73">
                  <c:v>40026</c:v>
                </c:pt>
                <c:pt idx="74">
                  <c:v>40057</c:v>
                </c:pt>
                <c:pt idx="75">
                  <c:v>40087</c:v>
                </c:pt>
                <c:pt idx="76">
                  <c:v>40118</c:v>
                </c:pt>
                <c:pt idx="77">
                  <c:v>40148</c:v>
                </c:pt>
                <c:pt idx="78">
                  <c:v>40179</c:v>
                </c:pt>
                <c:pt idx="79">
                  <c:v>40210</c:v>
                </c:pt>
                <c:pt idx="80">
                  <c:v>40238</c:v>
                </c:pt>
                <c:pt idx="81">
                  <c:v>40269</c:v>
                </c:pt>
                <c:pt idx="82">
                  <c:v>40299</c:v>
                </c:pt>
                <c:pt idx="83">
                  <c:v>40330</c:v>
                </c:pt>
              </c:strCache>
            </c:strRef>
          </c:cat>
          <c:val>
            <c:numRef>
              <c:f>HTHW!$E$57:$E$140</c:f>
              <c:numCache>
                <c:ptCount val="84"/>
                <c:pt idx="0">
                  <c:v>1774</c:v>
                </c:pt>
                <c:pt idx="1">
                  <c:v>2755</c:v>
                </c:pt>
                <c:pt idx="2">
                  <c:v>1510</c:v>
                </c:pt>
                <c:pt idx="3">
                  <c:v>1939</c:v>
                </c:pt>
                <c:pt idx="4">
                  <c:v>2039</c:v>
                </c:pt>
                <c:pt idx="5">
                  <c:v>4223.700000000001</c:v>
                </c:pt>
                <c:pt idx="6">
                  <c:v>3987.2499999999964</c:v>
                </c:pt>
                <c:pt idx="7">
                  <c:v>3108.9500000000044</c:v>
                </c:pt>
                <c:pt idx="8">
                  <c:v>2132.540000000001</c:v>
                </c:pt>
                <c:pt idx="9">
                  <c:v>2235.7599999999948</c:v>
                </c:pt>
                <c:pt idx="10">
                  <c:v>1752.800000000003</c:v>
                </c:pt>
                <c:pt idx="11">
                  <c:v>1758.199999999997</c:v>
                </c:pt>
                <c:pt idx="12">
                  <c:v>2425.5</c:v>
                </c:pt>
                <c:pt idx="13">
                  <c:v>2755.9000000000015</c:v>
                </c:pt>
                <c:pt idx="14">
                  <c:v>2153.5999999999985</c:v>
                </c:pt>
                <c:pt idx="15">
                  <c:v>1954.800000000003</c:v>
                </c:pt>
                <c:pt idx="16">
                  <c:v>2157.300000000003</c:v>
                </c:pt>
                <c:pt idx="17">
                  <c:v>3063.699999999997</c:v>
                </c:pt>
                <c:pt idx="18">
                  <c:v>2915.9000000000015</c:v>
                </c:pt>
                <c:pt idx="19">
                  <c:v>2924.9999999999927</c:v>
                </c:pt>
                <c:pt idx="20">
                  <c:v>2256.5</c:v>
                </c:pt>
                <c:pt idx="21">
                  <c:v>2103</c:v>
                </c:pt>
                <c:pt idx="22">
                  <c:v>1249.800000000003</c:v>
                </c:pt>
                <c:pt idx="23">
                  <c:v>1336.4000000000087</c:v>
                </c:pt>
                <c:pt idx="24">
                  <c:v>1275.699999999997</c:v>
                </c:pt>
                <c:pt idx="25">
                  <c:v>3062.800000000003</c:v>
                </c:pt>
                <c:pt idx="26">
                  <c:v>2376.0999999999913</c:v>
                </c:pt>
                <c:pt idx="27">
                  <c:v>1500.1000000000058</c:v>
                </c:pt>
                <c:pt idx="28">
                  <c:v>1665.800000000003</c:v>
                </c:pt>
                <c:pt idx="29">
                  <c:v>2114.2999999999884</c:v>
                </c:pt>
                <c:pt idx="30">
                  <c:v>3328.600000000006</c:v>
                </c:pt>
                <c:pt idx="31">
                  <c:v>2923.5</c:v>
                </c:pt>
                <c:pt idx="32">
                  <c:v>2201</c:v>
                </c:pt>
                <c:pt idx="33">
                  <c:v>2018.199999999997</c:v>
                </c:pt>
                <c:pt idx="34">
                  <c:v>1016.5596640365357</c:v>
                </c:pt>
                <c:pt idx="35">
                  <c:v>1084.023942612962</c:v>
                </c:pt>
                <c:pt idx="36">
                  <c:v>2131.0099999999948</c:v>
                </c:pt>
                <c:pt idx="37">
                  <c:v>1955.6399999999994</c:v>
                </c:pt>
                <c:pt idx="38">
                  <c:v>2723</c:v>
                </c:pt>
                <c:pt idx="39">
                  <c:v>2039.4700000000012</c:v>
                </c:pt>
                <c:pt idx="40">
                  <c:v>2532.1199999999953</c:v>
                </c:pt>
                <c:pt idx="41">
                  <c:v>2857.970000000001</c:v>
                </c:pt>
                <c:pt idx="42">
                  <c:v>2613.1699999999983</c:v>
                </c:pt>
                <c:pt idx="43">
                  <c:v>4692.669999999998</c:v>
                </c:pt>
                <c:pt idx="44">
                  <c:v>3558.6100000000006</c:v>
                </c:pt>
                <c:pt idx="45">
                  <c:v>2663.4100000000035</c:v>
                </c:pt>
                <c:pt idx="46">
                  <c:v>2663.4100000000035</c:v>
                </c:pt>
                <c:pt idx="47">
                  <c:v>2252.3199999999924</c:v>
                </c:pt>
                <c:pt idx="48">
                  <c:v>2084.24000000002</c:v>
                </c:pt>
                <c:pt idx="49">
                  <c:v>2537.0349999999744</c:v>
                </c:pt>
                <c:pt idx="50">
                  <c:v>2537.0350000000035</c:v>
                </c:pt>
                <c:pt idx="51">
                  <c:v>3680.24000000002</c:v>
                </c:pt>
                <c:pt idx="52">
                  <c:v>3120.5499999999884</c:v>
                </c:pt>
                <c:pt idx="53">
                  <c:v>4244.359999999986</c:v>
                </c:pt>
                <c:pt idx="54">
                  <c:v>4541.040000000008</c:v>
                </c:pt>
                <c:pt idx="55">
                  <c:v>4638.470000000001</c:v>
                </c:pt>
                <c:pt idx="56">
                  <c:v>4241.890000000014</c:v>
                </c:pt>
                <c:pt idx="57">
                  <c:v>2581.2399999999907</c:v>
                </c:pt>
                <c:pt idx="58">
                  <c:v>2247.540000000008</c:v>
                </c:pt>
                <c:pt idx="59">
                  <c:v>2229.289999999979</c:v>
                </c:pt>
                <c:pt idx="60">
                  <c:v>1867.6500000000233</c:v>
                </c:pt>
                <c:pt idx="61">
                  <c:v>1998.7999999999884</c:v>
                </c:pt>
                <c:pt idx="62">
                  <c:v>1843.5499999999884</c:v>
                </c:pt>
                <c:pt idx="63">
                  <c:v>1701.5800000000163</c:v>
                </c:pt>
                <c:pt idx="64">
                  <c:v>2465.2399999999907</c:v>
                </c:pt>
                <c:pt idx="65">
                  <c:v>2783.3300000000163</c:v>
                </c:pt>
                <c:pt idx="66">
                  <c:v>3121.359999999986</c:v>
                </c:pt>
                <c:pt idx="67">
                  <c:v>3783.8699999999953</c:v>
                </c:pt>
                <c:pt idx="68">
                  <c:v>2700.6600000000035</c:v>
                </c:pt>
                <c:pt idx="69">
                  <c:v>2462.7000000000116</c:v>
                </c:pt>
                <c:pt idx="70">
                  <c:v>1356.6499999999942</c:v>
                </c:pt>
                <c:pt idx="71">
                  <c:v>1592.1499999999942</c:v>
                </c:pt>
                <c:pt idx="72">
                  <c:v>879.9700000000012</c:v>
                </c:pt>
                <c:pt idx="73">
                  <c:v>601.8000000000175</c:v>
                </c:pt>
                <c:pt idx="74">
                  <c:v>684.5899999999965</c:v>
                </c:pt>
                <c:pt idx="75">
                  <c:v>979.109999999986</c:v>
                </c:pt>
                <c:pt idx="76">
                  <c:v>1537.8399999999965</c:v>
                </c:pt>
                <c:pt idx="77">
                  <c:v>2329.49000000002</c:v>
                </c:pt>
                <c:pt idx="78">
                  <c:v>2747.039999999979</c:v>
                </c:pt>
                <c:pt idx="79">
                  <c:v>2981</c:v>
                </c:pt>
                <c:pt idx="80">
                  <c:v>2152.610000000015</c:v>
                </c:pt>
                <c:pt idx="81">
                  <c:v>1568.5799999999872</c:v>
                </c:pt>
                <c:pt idx="82">
                  <c:v>1202.8399999999965</c:v>
                </c:pt>
                <c:pt idx="83">
                  <c:v>918.9500000000116</c:v>
                </c:pt>
              </c:numCache>
            </c:numRef>
          </c:val>
          <c:smooth val="0"/>
        </c:ser>
        <c:marker val="1"/>
        <c:axId val="28230746"/>
        <c:axId val="52750123"/>
      </c:lineChart>
      <c:dateAx>
        <c:axId val="28230746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0123"/>
        <c:crosses val="autoZero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52750123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Million BTU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2307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RAC Electrical Consumption</a:t>
            </a:r>
          </a:p>
        </c:rich>
      </c:tx>
      <c:layout>
        <c:manualLayout>
          <c:xMode val="factor"/>
          <c:yMode val="factor"/>
          <c:x val="0.01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8775"/>
          <c:w val="0.92925"/>
          <c:h val="0.8875"/>
        </c:manualLayout>
      </c:layout>
      <c:lineChart>
        <c:grouping val="standard"/>
        <c:varyColors val="0"/>
        <c:ser>
          <c:idx val="0"/>
          <c:order val="0"/>
          <c:tx>
            <c:v>Electricity kW-hours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Electric!$A$55:$A$138</c:f>
              <c:strCache>
                <c:ptCount val="84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38195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  <c:pt idx="72">
                  <c:v>39995</c:v>
                </c:pt>
                <c:pt idx="73">
                  <c:v>40026</c:v>
                </c:pt>
                <c:pt idx="74">
                  <c:v>40057</c:v>
                </c:pt>
                <c:pt idx="75">
                  <c:v>40087</c:v>
                </c:pt>
                <c:pt idx="76">
                  <c:v>40118</c:v>
                </c:pt>
                <c:pt idx="77">
                  <c:v>40148</c:v>
                </c:pt>
                <c:pt idx="78">
                  <c:v>40179</c:v>
                </c:pt>
                <c:pt idx="79">
                  <c:v>40210</c:v>
                </c:pt>
                <c:pt idx="80">
                  <c:v>40238</c:v>
                </c:pt>
                <c:pt idx="81">
                  <c:v>40269</c:v>
                </c:pt>
                <c:pt idx="82">
                  <c:v>40299</c:v>
                </c:pt>
                <c:pt idx="83">
                  <c:v>40330</c:v>
                </c:pt>
              </c:strCache>
            </c:strRef>
          </c:cat>
          <c:val>
            <c:numRef>
              <c:f>Electric!$D$55:$D$138</c:f>
              <c:numCache>
                <c:ptCount val="84"/>
                <c:pt idx="0">
                  <c:v>459966.6666666667</c:v>
                </c:pt>
                <c:pt idx="1">
                  <c:v>459966.6666666667</c:v>
                </c:pt>
                <c:pt idx="2">
                  <c:v>459966.6666666667</c:v>
                </c:pt>
                <c:pt idx="3">
                  <c:v>369600</c:v>
                </c:pt>
                <c:pt idx="4">
                  <c:v>296300</c:v>
                </c:pt>
                <c:pt idx="5">
                  <c:v>390600</c:v>
                </c:pt>
                <c:pt idx="6">
                  <c:v>318400</c:v>
                </c:pt>
                <c:pt idx="7">
                  <c:v>297900</c:v>
                </c:pt>
                <c:pt idx="8">
                  <c:v>292800</c:v>
                </c:pt>
                <c:pt idx="9">
                  <c:v>414800</c:v>
                </c:pt>
                <c:pt idx="10">
                  <c:v>400700</c:v>
                </c:pt>
                <c:pt idx="11">
                  <c:v>465700</c:v>
                </c:pt>
                <c:pt idx="12">
                  <c:v>675000</c:v>
                </c:pt>
                <c:pt idx="13">
                  <c:v>655500</c:v>
                </c:pt>
                <c:pt idx="14">
                  <c:v>557500</c:v>
                </c:pt>
                <c:pt idx="15">
                  <c:v>378900</c:v>
                </c:pt>
                <c:pt idx="16">
                  <c:v>337000</c:v>
                </c:pt>
                <c:pt idx="17">
                  <c:v>338400</c:v>
                </c:pt>
                <c:pt idx="18">
                  <c:v>282700</c:v>
                </c:pt>
                <c:pt idx="19">
                  <c:v>287300</c:v>
                </c:pt>
                <c:pt idx="20">
                  <c:v>220500</c:v>
                </c:pt>
                <c:pt idx="21">
                  <c:v>380000</c:v>
                </c:pt>
                <c:pt idx="22">
                  <c:v>322700</c:v>
                </c:pt>
                <c:pt idx="23">
                  <c:v>564500</c:v>
                </c:pt>
                <c:pt idx="24">
                  <c:v>667500</c:v>
                </c:pt>
                <c:pt idx="25">
                  <c:v>739300</c:v>
                </c:pt>
                <c:pt idx="26">
                  <c:v>677800</c:v>
                </c:pt>
                <c:pt idx="27">
                  <c:v>431300</c:v>
                </c:pt>
                <c:pt idx="28">
                  <c:v>303100</c:v>
                </c:pt>
                <c:pt idx="29">
                  <c:v>234000</c:v>
                </c:pt>
                <c:pt idx="30">
                  <c:v>364300</c:v>
                </c:pt>
                <c:pt idx="31">
                  <c:v>309200</c:v>
                </c:pt>
                <c:pt idx="32">
                  <c:v>292500</c:v>
                </c:pt>
                <c:pt idx="33">
                  <c:v>342600</c:v>
                </c:pt>
                <c:pt idx="34">
                  <c:v>342600</c:v>
                </c:pt>
                <c:pt idx="35">
                  <c:v>445400</c:v>
                </c:pt>
                <c:pt idx="36">
                  <c:v>630200</c:v>
                </c:pt>
                <c:pt idx="37">
                  <c:v>632000</c:v>
                </c:pt>
                <c:pt idx="38">
                  <c:v>588300</c:v>
                </c:pt>
                <c:pt idx="39">
                  <c:v>373100</c:v>
                </c:pt>
                <c:pt idx="40">
                  <c:v>384400</c:v>
                </c:pt>
                <c:pt idx="41">
                  <c:v>331300</c:v>
                </c:pt>
                <c:pt idx="42">
                  <c:v>345500</c:v>
                </c:pt>
                <c:pt idx="43">
                  <c:v>349600</c:v>
                </c:pt>
                <c:pt idx="44">
                  <c:v>315200</c:v>
                </c:pt>
                <c:pt idx="45">
                  <c:v>356600</c:v>
                </c:pt>
                <c:pt idx="46">
                  <c:v>356500</c:v>
                </c:pt>
                <c:pt idx="47">
                  <c:v>448400</c:v>
                </c:pt>
                <c:pt idx="48">
                  <c:v>561800</c:v>
                </c:pt>
                <c:pt idx="49">
                  <c:v>574100</c:v>
                </c:pt>
                <c:pt idx="50">
                  <c:v>593100</c:v>
                </c:pt>
                <c:pt idx="51">
                  <c:v>401900</c:v>
                </c:pt>
                <c:pt idx="52">
                  <c:v>363100</c:v>
                </c:pt>
                <c:pt idx="53">
                  <c:v>288200</c:v>
                </c:pt>
                <c:pt idx="54">
                  <c:v>304600</c:v>
                </c:pt>
                <c:pt idx="55">
                  <c:v>311400</c:v>
                </c:pt>
                <c:pt idx="56">
                  <c:v>354500</c:v>
                </c:pt>
                <c:pt idx="57">
                  <c:v>291600</c:v>
                </c:pt>
                <c:pt idx="58">
                  <c:v>328900</c:v>
                </c:pt>
                <c:pt idx="59">
                  <c:v>440600</c:v>
                </c:pt>
                <c:pt idx="60">
                  <c:v>450500</c:v>
                </c:pt>
                <c:pt idx="61">
                  <c:v>513100</c:v>
                </c:pt>
                <c:pt idx="62">
                  <c:v>450100</c:v>
                </c:pt>
                <c:pt idx="63">
                  <c:v>367600</c:v>
                </c:pt>
                <c:pt idx="64">
                  <c:v>350200</c:v>
                </c:pt>
                <c:pt idx="65">
                  <c:v>253600</c:v>
                </c:pt>
                <c:pt idx="66">
                  <c:v>310500</c:v>
                </c:pt>
                <c:pt idx="67">
                  <c:v>346300</c:v>
                </c:pt>
                <c:pt idx="68">
                  <c:v>268600</c:v>
                </c:pt>
                <c:pt idx="69">
                  <c:v>315600</c:v>
                </c:pt>
                <c:pt idx="70">
                  <c:v>271800</c:v>
                </c:pt>
                <c:pt idx="71">
                  <c:v>433200</c:v>
                </c:pt>
                <c:pt idx="72">
                  <c:v>483300</c:v>
                </c:pt>
                <c:pt idx="73">
                  <c:v>466100</c:v>
                </c:pt>
                <c:pt idx="74">
                  <c:v>385700</c:v>
                </c:pt>
                <c:pt idx="75">
                  <c:v>327900</c:v>
                </c:pt>
                <c:pt idx="76">
                  <c:v>285400</c:v>
                </c:pt>
                <c:pt idx="77">
                  <c:v>271800</c:v>
                </c:pt>
                <c:pt idx="78">
                  <c:v>249500</c:v>
                </c:pt>
                <c:pt idx="79">
                  <c:v>280200</c:v>
                </c:pt>
                <c:pt idx="80">
                  <c:v>245800</c:v>
                </c:pt>
                <c:pt idx="81">
                  <c:v>299820</c:v>
                </c:pt>
                <c:pt idx="82">
                  <c:v>258210</c:v>
                </c:pt>
                <c:pt idx="83">
                  <c:v>411540</c:v>
                </c:pt>
              </c:numCache>
            </c:numRef>
          </c:val>
          <c:smooth val="0"/>
        </c:ser>
        <c:marker val="1"/>
        <c:axId val="4989060"/>
        <c:axId val="44901541"/>
      </c:lineChart>
      <c:dateAx>
        <c:axId val="4989060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01541"/>
        <c:crosses val="autoZero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44901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KiloWatt - Hours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89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RAC Domestic Water Consumption</a:t>
            </a:r>
          </a:p>
        </c:rich>
      </c:tx>
      <c:layout>
        <c:manualLayout>
          <c:xMode val="factor"/>
          <c:yMode val="factor"/>
          <c:x val="0.017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7975"/>
          <c:w val="0.95325"/>
          <c:h val="0.8955"/>
        </c:manualLayout>
      </c:layout>
      <c:lineChart>
        <c:grouping val="standard"/>
        <c:varyColors val="0"/>
        <c:ser>
          <c:idx val="0"/>
          <c:order val="0"/>
          <c:tx>
            <c:v>gallons per month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Usage'!$A$67:$A$122</c:f>
              <c:strCache>
                <c:ptCount val="56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</c:strCache>
            </c:strRef>
          </c:cat>
          <c:val>
            <c:numRef>
              <c:f>'Water Usage'!$D$67:$D$122</c:f>
              <c:numCache>
                <c:ptCount val="56"/>
                <c:pt idx="0">
                  <c:v>1077</c:v>
                </c:pt>
                <c:pt idx="1">
                  <c:v>1160</c:v>
                </c:pt>
                <c:pt idx="2">
                  <c:v>1200</c:v>
                </c:pt>
                <c:pt idx="3">
                  <c:v>580</c:v>
                </c:pt>
                <c:pt idx="4">
                  <c:v>330</c:v>
                </c:pt>
                <c:pt idx="5">
                  <c:v>188</c:v>
                </c:pt>
                <c:pt idx="6">
                  <c:v>293</c:v>
                </c:pt>
                <c:pt idx="7">
                  <c:v>304</c:v>
                </c:pt>
                <c:pt idx="8">
                  <c:v>238</c:v>
                </c:pt>
                <c:pt idx="9">
                  <c:v>264</c:v>
                </c:pt>
                <c:pt idx="10">
                  <c:v>378</c:v>
                </c:pt>
                <c:pt idx="11">
                  <c:v>723</c:v>
                </c:pt>
                <c:pt idx="12">
                  <c:v>1168</c:v>
                </c:pt>
                <c:pt idx="13">
                  <c:v>948</c:v>
                </c:pt>
                <c:pt idx="14">
                  <c:v>824</c:v>
                </c:pt>
                <c:pt idx="15">
                  <c:v>445</c:v>
                </c:pt>
                <c:pt idx="16">
                  <c:v>400</c:v>
                </c:pt>
                <c:pt idx="17">
                  <c:v>258</c:v>
                </c:pt>
                <c:pt idx="18">
                  <c:v>254</c:v>
                </c:pt>
                <c:pt idx="19">
                  <c:v>471</c:v>
                </c:pt>
                <c:pt idx="20">
                  <c:v>301</c:v>
                </c:pt>
                <c:pt idx="21">
                  <c:v>310</c:v>
                </c:pt>
                <c:pt idx="22">
                  <c:v>352</c:v>
                </c:pt>
                <c:pt idx="23">
                  <c:v>682</c:v>
                </c:pt>
                <c:pt idx="24">
                  <c:v>1104</c:v>
                </c:pt>
                <c:pt idx="25">
                  <c:v>853</c:v>
                </c:pt>
                <c:pt idx="26">
                  <c:v>941</c:v>
                </c:pt>
                <c:pt idx="27">
                  <c:v>593</c:v>
                </c:pt>
                <c:pt idx="28">
                  <c:v>608</c:v>
                </c:pt>
                <c:pt idx="29">
                  <c:v>335</c:v>
                </c:pt>
                <c:pt idx="30">
                  <c:v>265</c:v>
                </c:pt>
                <c:pt idx="31">
                  <c:v>416</c:v>
                </c:pt>
                <c:pt idx="32">
                  <c:v>375</c:v>
                </c:pt>
                <c:pt idx="33">
                  <c:v>287</c:v>
                </c:pt>
                <c:pt idx="34">
                  <c:v>436</c:v>
                </c:pt>
                <c:pt idx="35">
                  <c:v>737</c:v>
                </c:pt>
                <c:pt idx="36">
                  <c:v>706</c:v>
                </c:pt>
                <c:pt idx="37">
                  <c:v>973</c:v>
                </c:pt>
                <c:pt idx="38">
                  <c:v>1559</c:v>
                </c:pt>
                <c:pt idx="39">
                  <c:v>594</c:v>
                </c:pt>
                <c:pt idx="40">
                  <c:v>470</c:v>
                </c:pt>
                <c:pt idx="41">
                  <c:v>279</c:v>
                </c:pt>
                <c:pt idx="42">
                  <c:v>309</c:v>
                </c:pt>
                <c:pt idx="43">
                  <c:v>471</c:v>
                </c:pt>
                <c:pt idx="44">
                  <c:v>359</c:v>
                </c:pt>
                <c:pt idx="45">
                  <c:v>429</c:v>
                </c:pt>
                <c:pt idx="46">
                  <c:v>344</c:v>
                </c:pt>
                <c:pt idx="47">
                  <c:v>656</c:v>
                </c:pt>
                <c:pt idx="48">
                  <c:v>732</c:v>
                </c:pt>
                <c:pt idx="49">
                  <c:v>1019</c:v>
                </c:pt>
                <c:pt idx="50">
                  <c:v>701</c:v>
                </c:pt>
                <c:pt idx="51">
                  <c:v>455</c:v>
                </c:pt>
                <c:pt idx="52">
                  <c:v>380</c:v>
                </c:pt>
                <c:pt idx="53">
                  <c:v>271</c:v>
                </c:pt>
                <c:pt idx="54">
                  <c:v>266</c:v>
                </c:pt>
                <c:pt idx="55">
                  <c:v>353</c:v>
                </c:pt>
              </c:numCache>
            </c:numRef>
          </c:val>
          <c:smooth val="0"/>
        </c:ser>
        <c:marker val="1"/>
        <c:axId val="1460686"/>
        <c:axId val="13146175"/>
      </c:lineChart>
      <c:dateAx>
        <c:axId val="1460686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6175"/>
        <c:crosses val="autoZero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13146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Gallons per Month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606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5" right="0.5" top="0.5" bottom="0.5" header="0.5" footer="0.5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5" right="0.5" top="0.5" bottom="0.5" header="0.5" footer="0.5"/>
  <pageSetup fitToHeight="0" fitToWidth="0"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5" right="0.5" top="0.5" bottom="0.5" header="0.5" footer="0.5"/>
  <pageSetup fitToHeight="0" fitToWidth="0"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85725</xdr:rowOff>
    </xdr:from>
    <xdr:to>
      <xdr:col>7</xdr:col>
      <xdr:colOff>666750</xdr:colOff>
      <xdr:row>3</xdr:row>
      <xdr:rowOff>76200</xdr:rowOff>
    </xdr:to>
    <xdr:pic>
      <xdr:nvPicPr>
        <xdr:cNvPr id="1" name="CommandButton1" descr="Print Entire WorkBo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0.15525</cdr:x>
      <cdr:y>0.126</cdr:y>
    </cdr:from>
    <cdr:to>
      <cdr:x>0.925</cdr:x>
      <cdr:y>0.31525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43025" y="742950"/>
          <a:ext cx="667702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FY2004  29,216  MMBTU           FY2008  38,683  MMBTU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FY2005  27,297  MMBTU           FY2009  27,678  MMBTU           down 28.5%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FY2006  24,567  MMBTU           FY2010  20,300  MMBTU est.    down 25.8%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FY2007  32,683  MMBTU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228600" y="4572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0.20825</cdr:x>
      <cdr:y>0.691</cdr:y>
    </cdr:from>
    <cdr:to>
      <cdr:x>0.88625</cdr:x>
      <cdr:y>0.8675</cdr:y>
    </cdr:to>
    <cdr:sp>
      <cdr:nvSpPr>
        <cdr:cNvPr id="1" name="Text Box 2"/>
        <cdr:cNvSpPr txBox="1">
          <a:spLocks noChangeArrowheads="1"/>
        </cdr:cNvSpPr>
      </cdr:nvSpPr>
      <cdr:spPr>
        <a:xfrm>
          <a:off x="1800225" y="4095750"/>
          <a:ext cx="5886450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FY2004  4.63M  kWhr          FY2008  4.81M  kWhr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FY2005  5.00M  kWhr          FY2009  4.32M  kWhr    down 10.0%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FY2006  5.15M  kWhr          FY2010  4.17M  kWhr    down 3.8%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FY2007  5.11M  kWhr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228600" y="4572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228600" y="4572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tabSelected="1" view="pageBreakPreview" zoomScale="90" zoomScaleSheetLayoutView="90"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34" sqref="H133:H134"/>
    </sheetView>
  </sheetViews>
  <sheetFormatPr defaultColWidth="9.140625" defaultRowHeight="12.75" outlineLevelRow="1"/>
  <cols>
    <col min="1" max="1" width="2.8515625" style="0" customWidth="1"/>
    <col min="2" max="2" width="15.00390625" style="0" customWidth="1"/>
    <col min="3" max="3" width="14.57421875" style="1" customWidth="1"/>
    <col min="4" max="6" width="14.57421875" style="0" customWidth="1"/>
    <col min="7" max="7" width="17.00390625" style="0" customWidth="1"/>
    <col min="8" max="9" width="17.00390625" style="7" customWidth="1"/>
    <col min="10" max="10" width="13.28125" style="79" bestFit="1" customWidth="1"/>
    <col min="11" max="11" width="7.28125" style="0" bestFit="1" customWidth="1"/>
    <col min="12" max="12" width="12.8515625" style="0" customWidth="1"/>
  </cols>
  <sheetData>
    <row r="1" ht="20.25">
      <c r="B1" s="78" t="s">
        <v>57</v>
      </c>
    </row>
    <row r="2" ht="20.25">
      <c r="B2" s="78" t="s">
        <v>58</v>
      </c>
    </row>
    <row r="3" spans="1:9" ht="12.75">
      <c r="A3" s="17"/>
      <c r="B3" s="305" t="s">
        <v>111</v>
      </c>
      <c r="C3" s="306"/>
      <c r="D3" s="17"/>
      <c r="E3" s="17"/>
      <c r="F3" s="17"/>
      <c r="G3" s="17"/>
      <c r="H3" s="18"/>
      <c r="I3" s="18"/>
    </row>
    <row r="4" spans="1:9" ht="12.75" customHeight="1" thickBot="1">
      <c r="A4" s="17"/>
      <c r="B4" s="307"/>
      <c r="C4" s="306"/>
      <c r="D4" s="17"/>
      <c r="E4" s="17"/>
      <c r="F4" s="17"/>
      <c r="G4" s="17"/>
      <c r="H4" s="18"/>
      <c r="I4" s="18"/>
    </row>
    <row r="5" spans="1:10" s="283" customFormat="1" ht="27.75" customHeight="1" thickBot="1">
      <c r="A5" s="308"/>
      <c r="B5" s="309"/>
      <c r="C5" s="310" t="s">
        <v>55</v>
      </c>
      <c r="D5" s="311" t="s">
        <v>52</v>
      </c>
      <c r="E5" s="310" t="s">
        <v>53</v>
      </c>
      <c r="F5" s="311" t="s">
        <v>87</v>
      </c>
      <c r="G5" s="310" t="s">
        <v>54</v>
      </c>
      <c r="H5" s="312" t="s">
        <v>56</v>
      </c>
      <c r="I5" s="312" t="s">
        <v>86</v>
      </c>
      <c r="J5" s="502"/>
    </row>
    <row r="6" spans="1:10" s="286" customFormat="1" ht="18" customHeight="1" outlineLevel="1">
      <c r="A6" s="287"/>
      <c r="B6" s="295">
        <v>36708</v>
      </c>
      <c r="C6" s="285">
        <f>HTHW!G19</f>
        <v>20573.532</v>
      </c>
      <c r="D6" s="296">
        <v>17837.38</v>
      </c>
      <c r="E6" s="285">
        <v>1829.16</v>
      </c>
      <c r="F6" s="296">
        <v>3665.22</v>
      </c>
      <c r="G6" s="285">
        <f aca="true" t="shared" si="0" ref="G6:G18">SUM(C6:F6)</f>
        <v>43905.292</v>
      </c>
      <c r="H6" s="314">
        <f>G6*0.6</f>
        <v>26343.1752</v>
      </c>
      <c r="I6" s="499"/>
      <c r="J6" s="503"/>
    </row>
    <row r="7" spans="1:10" s="286" customFormat="1" ht="18" customHeight="1" outlineLevel="1">
      <c r="A7" s="287"/>
      <c r="B7" s="288">
        <v>36739</v>
      </c>
      <c r="C7" s="289">
        <f>HTHW!G20</f>
        <v>27094.42728</v>
      </c>
      <c r="D7" s="290">
        <v>16942.41</v>
      </c>
      <c r="E7" s="289">
        <v>1498.67</v>
      </c>
      <c r="F7" s="290">
        <v>3516.63</v>
      </c>
      <c r="G7" s="289">
        <f t="shared" si="0"/>
        <v>49052.137279999995</v>
      </c>
      <c r="H7" s="316">
        <f aca="true" t="shared" si="1" ref="H7:H29">G7*0.6</f>
        <v>29431.282367999996</v>
      </c>
      <c r="I7" s="500"/>
      <c r="J7" s="503"/>
    </row>
    <row r="8" spans="1:10" s="286" customFormat="1" ht="18" customHeight="1" outlineLevel="1" thickBot="1">
      <c r="A8" s="287"/>
      <c r="B8" s="288">
        <v>36770</v>
      </c>
      <c r="C8" s="289">
        <f>HTHW!G21</f>
        <v>28936.508830000002</v>
      </c>
      <c r="D8" s="290">
        <v>17533.17</v>
      </c>
      <c r="E8" s="289">
        <v>2167.7</v>
      </c>
      <c r="F8" s="290">
        <v>3989.07</v>
      </c>
      <c r="G8" s="289">
        <f t="shared" si="0"/>
        <v>52626.44883</v>
      </c>
      <c r="H8" s="355">
        <f t="shared" si="1"/>
        <v>31575.869297999998</v>
      </c>
      <c r="I8" s="501">
        <f>SUM(H6:H8)</f>
        <v>87350.32686599999</v>
      </c>
      <c r="J8" s="503"/>
    </row>
    <row r="9" spans="1:10" s="286" customFormat="1" ht="18" customHeight="1" outlineLevel="1">
      <c r="A9" s="287"/>
      <c r="B9" s="288">
        <v>36800</v>
      </c>
      <c r="C9" s="289">
        <f>HTHW!G22</f>
        <v>36298.858557600004</v>
      </c>
      <c r="D9" s="290">
        <v>12838.3</v>
      </c>
      <c r="E9" s="289">
        <v>1382.01</v>
      </c>
      <c r="F9" s="290">
        <v>2602.23</v>
      </c>
      <c r="G9" s="289">
        <f t="shared" si="0"/>
        <v>53121.39855760001</v>
      </c>
      <c r="H9" s="314">
        <f t="shared" si="1"/>
        <v>31872.839134560007</v>
      </c>
      <c r="I9" s="499"/>
      <c r="J9" s="503"/>
    </row>
    <row r="10" spans="1:10" s="286" customFormat="1" ht="18" customHeight="1" outlineLevel="1">
      <c r="A10" s="287"/>
      <c r="B10" s="288">
        <v>36831</v>
      </c>
      <c r="C10" s="289">
        <f>HTHW!G23</f>
        <v>13865.968365920002</v>
      </c>
      <c r="D10" s="290">
        <v>11877.73</v>
      </c>
      <c r="E10" s="289">
        <v>1154.49</v>
      </c>
      <c r="F10" s="290">
        <v>1512.57</v>
      </c>
      <c r="G10" s="289">
        <f t="shared" si="0"/>
        <v>28410.758365920003</v>
      </c>
      <c r="H10" s="316">
        <f t="shared" si="1"/>
        <v>17046.455019552002</v>
      </c>
      <c r="I10" s="500"/>
      <c r="J10" s="503"/>
    </row>
    <row r="11" spans="1:10" s="286" customFormat="1" ht="18" customHeight="1" outlineLevel="1" thickBot="1">
      <c r="A11" s="287"/>
      <c r="B11" s="288">
        <v>36861</v>
      </c>
      <c r="C11" s="289">
        <f>HTHW!G24</f>
        <v>28195.546656000002</v>
      </c>
      <c r="D11" s="290">
        <v>11406.19</v>
      </c>
      <c r="E11" s="289">
        <v>1145.58</v>
      </c>
      <c r="F11" s="290">
        <v>853.44</v>
      </c>
      <c r="G11" s="289">
        <f t="shared" si="0"/>
        <v>41600.756656000005</v>
      </c>
      <c r="H11" s="317">
        <f t="shared" si="1"/>
        <v>24960.453993600004</v>
      </c>
      <c r="I11" s="501">
        <f>SUM(H9:H11)</f>
        <v>73879.74814771202</v>
      </c>
      <c r="J11" s="503"/>
    </row>
    <row r="12" spans="1:10" s="286" customFormat="1" ht="18" customHeight="1" outlineLevel="1">
      <c r="A12" s="287"/>
      <c r="B12" s="288">
        <v>36892</v>
      </c>
      <c r="C12" s="289">
        <f>HTHW!G25</f>
        <v>22016.7191497</v>
      </c>
      <c r="D12" s="290">
        <v>12127.44</v>
      </c>
      <c r="E12" s="289">
        <v>855.3</v>
      </c>
      <c r="F12" s="290">
        <v>1203.96</v>
      </c>
      <c r="G12" s="289">
        <f t="shared" si="0"/>
        <v>36203.4191497</v>
      </c>
      <c r="H12" s="356">
        <f t="shared" si="1"/>
        <v>21722.051489819998</v>
      </c>
      <c r="I12" s="499"/>
      <c r="J12" s="503"/>
    </row>
    <row r="13" spans="1:10" s="286" customFormat="1" ht="18" customHeight="1" outlineLevel="1">
      <c r="A13" s="287"/>
      <c r="B13" s="288">
        <v>36923</v>
      </c>
      <c r="C13" s="289">
        <f>HTHW!G26</f>
        <v>21439.346039999997</v>
      </c>
      <c r="D13" s="290">
        <v>8874.7</v>
      </c>
      <c r="E13" s="289">
        <v>1311.2</v>
      </c>
      <c r="F13" s="290">
        <v>1020.78</v>
      </c>
      <c r="G13" s="289">
        <f t="shared" si="0"/>
        <v>32646.026039999997</v>
      </c>
      <c r="H13" s="316">
        <f t="shared" si="1"/>
        <v>19587.615624</v>
      </c>
      <c r="I13" s="500"/>
      <c r="J13" s="503"/>
    </row>
    <row r="14" spans="1:10" s="286" customFormat="1" ht="18" customHeight="1" outlineLevel="1" thickBot="1">
      <c r="A14" s="287"/>
      <c r="B14" s="288">
        <v>36951</v>
      </c>
      <c r="C14" s="289">
        <f>HTHW!G27</f>
        <v>19653.60228</v>
      </c>
      <c r="D14" s="290">
        <v>10500.13</v>
      </c>
      <c r="E14" s="289">
        <v>2212.2</v>
      </c>
      <c r="F14" s="290">
        <v>864.96</v>
      </c>
      <c r="G14" s="289">
        <f t="shared" si="0"/>
        <v>33230.89228</v>
      </c>
      <c r="H14" s="355">
        <f t="shared" si="1"/>
        <v>19938.535368</v>
      </c>
      <c r="I14" s="501">
        <f>SUM(H12:H14)</f>
        <v>61248.20248182</v>
      </c>
      <c r="J14" s="503"/>
    </row>
    <row r="15" spans="1:11" s="291" customFormat="1" ht="18" customHeight="1" outlineLevel="1">
      <c r="A15" s="287"/>
      <c r="B15" s="288">
        <v>36982</v>
      </c>
      <c r="C15" s="289">
        <f>HTHW!G28</f>
        <v>10988.809899999998</v>
      </c>
      <c r="D15" s="290">
        <v>10264.63</v>
      </c>
      <c r="E15" s="289">
        <v>1720.19</v>
      </c>
      <c r="F15" s="290">
        <v>979.17</v>
      </c>
      <c r="G15" s="289">
        <f t="shared" si="0"/>
        <v>23952.799899999995</v>
      </c>
      <c r="H15" s="314">
        <f t="shared" si="1"/>
        <v>14371.679939999996</v>
      </c>
      <c r="I15" s="500"/>
      <c r="J15" s="504"/>
      <c r="K15" s="292"/>
    </row>
    <row r="16" spans="1:11" s="291" customFormat="1" ht="18" customHeight="1" outlineLevel="1">
      <c r="A16" s="287"/>
      <c r="B16" s="288">
        <v>37012</v>
      </c>
      <c r="C16" s="289">
        <f>HTHW!G29</f>
        <v>22681.895667199995</v>
      </c>
      <c r="D16" s="290">
        <v>15754.57</v>
      </c>
      <c r="E16" s="289">
        <v>2117.47</v>
      </c>
      <c r="F16" s="290">
        <v>2636.52</v>
      </c>
      <c r="G16" s="289">
        <f t="shared" si="0"/>
        <v>43190.455667199996</v>
      </c>
      <c r="H16" s="316">
        <f t="shared" si="1"/>
        <v>25914.27340032</v>
      </c>
      <c r="I16" s="500"/>
      <c r="J16" s="504"/>
      <c r="K16" s="292"/>
    </row>
    <row r="17" spans="1:12" s="291" customFormat="1" ht="18" customHeight="1" outlineLevel="1" thickBot="1">
      <c r="A17" s="287"/>
      <c r="B17" s="288">
        <v>37043</v>
      </c>
      <c r="C17" s="293">
        <f>HTHW!G30</f>
        <v>29412.98976</v>
      </c>
      <c r="D17" s="294">
        <v>16506.35</v>
      </c>
      <c r="E17" s="293">
        <v>819.95</v>
      </c>
      <c r="F17" s="294">
        <v>3131.82</v>
      </c>
      <c r="G17" s="293">
        <f t="shared" si="0"/>
        <v>49871.10976</v>
      </c>
      <c r="H17" s="317">
        <f t="shared" si="1"/>
        <v>29922.665856</v>
      </c>
      <c r="I17" s="501">
        <f>SUM(H15:H17)</f>
        <v>70208.61919632</v>
      </c>
      <c r="J17" s="505">
        <f>SUM(I6:I17)</f>
        <v>292686.896691852</v>
      </c>
      <c r="K17" s="292"/>
      <c r="L17" s="292"/>
    </row>
    <row r="18" spans="1:11" s="286" customFormat="1" ht="18" customHeight="1" outlineLevel="1">
      <c r="A18" s="287"/>
      <c r="B18" s="295">
        <v>37073</v>
      </c>
      <c r="C18" s="285">
        <f>HTHW!G31</f>
        <v>22676.679996600004</v>
      </c>
      <c r="D18" s="296">
        <f>Electric!H19</f>
        <v>17837.38</v>
      </c>
      <c r="E18" s="285">
        <f>'Nat Gas Usage'!G6</f>
        <v>1829.16384</v>
      </c>
      <c r="F18" s="296">
        <f>'Water Usage'!G7</f>
        <v>3665.3743315508023</v>
      </c>
      <c r="G18" s="285">
        <f t="shared" si="0"/>
        <v>46008.598168150806</v>
      </c>
      <c r="H18" s="314">
        <f t="shared" si="1"/>
        <v>27605.15890089048</v>
      </c>
      <c r="I18" s="499"/>
      <c r="J18" s="504"/>
      <c r="K18" s="292"/>
    </row>
    <row r="19" spans="1:10" s="286" customFormat="1" ht="18" customHeight="1" outlineLevel="1">
      <c r="A19" s="287"/>
      <c r="B19" s="288">
        <v>37104</v>
      </c>
      <c r="C19" s="289">
        <f>HTHW!G32</f>
        <v>24643.945524</v>
      </c>
      <c r="D19" s="290">
        <f>Electric!H20</f>
        <v>16942.41</v>
      </c>
      <c r="E19" s="289">
        <f>'Nat Gas Usage'!G7</f>
        <v>1498.67416</v>
      </c>
      <c r="F19" s="290">
        <f>'Water Usage'!G8</f>
        <v>3516.77807486631</v>
      </c>
      <c r="G19" s="289">
        <f aca="true" t="shared" si="2" ref="G19:G29">SUM(C19:F19)</f>
        <v>46601.807758866315</v>
      </c>
      <c r="H19" s="316">
        <f t="shared" si="1"/>
        <v>27961.084655319788</v>
      </c>
      <c r="I19" s="500"/>
      <c r="J19" s="503"/>
    </row>
    <row r="20" spans="1:10" s="286" customFormat="1" ht="18" customHeight="1" outlineLevel="1" thickBot="1">
      <c r="A20" s="287"/>
      <c r="B20" s="288">
        <v>37135</v>
      </c>
      <c r="C20" s="289">
        <f>HTHW!G33</f>
        <v>24787.508800800002</v>
      </c>
      <c r="D20" s="290">
        <f>Electric!H21</f>
        <v>17533.17</v>
      </c>
      <c r="E20" s="289">
        <f>'Nat Gas Usage'!G8</f>
        <v>2167.7021099999997</v>
      </c>
      <c r="F20" s="290">
        <f>'Water Usage'!G9</f>
        <v>3989.2379679144387</v>
      </c>
      <c r="G20" s="289">
        <f t="shared" si="2"/>
        <v>48477.618878714435</v>
      </c>
      <c r="H20" s="355">
        <f t="shared" si="1"/>
        <v>29086.57132722866</v>
      </c>
      <c r="I20" s="501">
        <f>SUM(H18:H20)</f>
        <v>84652.81488343893</v>
      </c>
      <c r="J20" s="503"/>
    </row>
    <row r="21" spans="1:10" s="286" customFormat="1" ht="18" customHeight="1" outlineLevel="1">
      <c r="A21" s="287"/>
      <c r="B21" s="288">
        <v>37165</v>
      </c>
      <c r="C21" s="289">
        <f>HTHW!G34</f>
        <v>27359.2940592</v>
      </c>
      <c r="D21" s="290">
        <f>Electric!H22</f>
        <v>12838.3</v>
      </c>
      <c r="E21" s="289">
        <f>'Nat Gas Usage'!G9</f>
        <v>1382.0133600000001</v>
      </c>
      <c r="F21" s="290">
        <f>'Water Usage'!G10</f>
        <v>2602.3395721925135</v>
      </c>
      <c r="G21" s="289">
        <f t="shared" si="2"/>
        <v>44181.946991392506</v>
      </c>
      <c r="H21" s="314">
        <f t="shared" si="1"/>
        <v>26509.168194835504</v>
      </c>
      <c r="I21" s="499"/>
      <c r="J21" s="503"/>
    </row>
    <row r="22" spans="1:10" s="286" customFormat="1" ht="18" customHeight="1" outlineLevel="1">
      <c r="A22" s="287"/>
      <c r="B22" s="288">
        <v>37196</v>
      </c>
      <c r="C22" s="289">
        <f>HTHW!G35</f>
        <v>18941.184774</v>
      </c>
      <c r="D22" s="290">
        <f>Electric!H23</f>
        <v>11877.73</v>
      </c>
      <c r="E22" s="289">
        <f>'Nat Gas Usage'!G10</f>
        <v>1154.4858</v>
      </c>
      <c r="F22" s="290">
        <f>'Water Usage'!G11</f>
        <v>1512.633689839572</v>
      </c>
      <c r="G22" s="289">
        <f t="shared" si="2"/>
        <v>33486.034263839574</v>
      </c>
      <c r="H22" s="316">
        <f t="shared" si="1"/>
        <v>20091.620558303744</v>
      </c>
      <c r="I22" s="500"/>
      <c r="J22" s="503"/>
    </row>
    <row r="23" spans="1:10" s="286" customFormat="1" ht="18" customHeight="1" outlineLevel="1" thickBot="1">
      <c r="A23" s="287"/>
      <c r="B23" s="288">
        <v>37226</v>
      </c>
      <c r="C23" s="289">
        <f>HTHW!G36</f>
        <v>19576.751364</v>
      </c>
      <c r="D23" s="290">
        <f>Electric!H24</f>
        <v>11406.19</v>
      </c>
      <c r="E23" s="289">
        <f>'Nat Gas Usage'!G11</f>
        <v>1145.5827</v>
      </c>
      <c r="F23" s="290">
        <f>'Water Usage'!G12</f>
        <v>853.475935828877</v>
      </c>
      <c r="G23" s="289">
        <f t="shared" si="2"/>
        <v>32981.99999982888</v>
      </c>
      <c r="H23" s="317">
        <f t="shared" si="1"/>
        <v>19789.199999897326</v>
      </c>
      <c r="I23" s="501">
        <f>SUM(H21:H23)</f>
        <v>66389.98875303657</v>
      </c>
      <c r="J23" s="503"/>
    </row>
    <row r="24" spans="1:10" s="286" customFormat="1" ht="18" customHeight="1" outlineLevel="1">
      <c r="A24" s="287"/>
      <c r="B24" s="288">
        <v>37257</v>
      </c>
      <c r="C24" s="289">
        <f>HTHW!G37</f>
        <v>24024.980605200002</v>
      </c>
      <c r="D24" s="290">
        <f>Electric!H25</f>
        <v>12127.44</v>
      </c>
      <c r="E24" s="289">
        <f>'Nat Gas Usage'!G12</f>
        <v>855.3009899999998</v>
      </c>
      <c r="F24" s="290">
        <f>'Water Usage'!G13</f>
        <v>1204.0106951871658</v>
      </c>
      <c r="G24" s="289">
        <f t="shared" si="2"/>
        <v>38211.73229038717</v>
      </c>
      <c r="H24" s="356">
        <f t="shared" si="1"/>
        <v>22927.0393742323</v>
      </c>
      <c r="I24" s="499"/>
      <c r="J24" s="503"/>
    </row>
    <row r="25" spans="1:10" s="286" customFormat="1" ht="18" customHeight="1" outlineLevel="1">
      <c r="A25" s="287"/>
      <c r="B25" s="288">
        <v>37288</v>
      </c>
      <c r="C25" s="289">
        <f>HTHW!G38</f>
        <v>26232.953748880005</v>
      </c>
      <c r="D25" s="290">
        <f>Electric!H26</f>
        <v>8874.7</v>
      </c>
      <c r="E25" s="289">
        <f>'Nat Gas Usage'!G13</f>
        <v>1311.20031</v>
      </c>
      <c r="F25" s="290">
        <f>'Water Usage'!G14</f>
        <v>1223.0614973262032</v>
      </c>
      <c r="G25" s="289">
        <f t="shared" si="2"/>
        <v>37641.915556206215</v>
      </c>
      <c r="H25" s="316">
        <f t="shared" si="1"/>
        <v>22585.14933372373</v>
      </c>
      <c r="I25" s="500"/>
      <c r="J25" s="503"/>
    </row>
    <row r="26" spans="1:10" s="286" customFormat="1" ht="18" customHeight="1" outlineLevel="1" thickBot="1">
      <c r="A26" s="287"/>
      <c r="B26" s="288">
        <v>37316</v>
      </c>
      <c r="C26" s="289">
        <f>HTHW!G39</f>
        <v>34338.3245376</v>
      </c>
      <c r="D26" s="290">
        <f>Electric!H27</f>
        <v>10500.13</v>
      </c>
      <c r="E26" s="289">
        <f>'Nat Gas Usage'!G14</f>
        <v>2212.196</v>
      </c>
      <c r="F26" s="290">
        <f>'Water Usage'!G15</f>
        <v>1036.3636363636363</v>
      </c>
      <c r="G26" s="289">
        <f t="shared" si="2"/>
        <v>48087.01417396364</v>
      </c>
      <c r="H26" s="355">
        <f t="shared" si="1"/>
        <v>28852.20850437818</v>
      </c>
      <c r="I26" s="501">
        <f>SUM(H24:H26)</f>
        <v>74364.39721233421</v>
      </c>
      <c r="J26" s="503"/>
    </row>
    <row r="27" spans="1:10" s="291" customFormat="1" ht="18" customHeight="1" outlineLevel="1">
      <c r="A27" s="287"/>
      <c r="B27" s="288">
        <v>37347</v>
      </c>
      <c r="C27" s="289">
        <f>HTHW!G40</f>
        <v>23786.4236928</v>
      </c>
      <c r="D27" s="290">
        <f>Electric!H28</f>
        <v>10264.63</v>
      </c>
      <c r="E27" s="289">
        <f>'Nat Gas Usage'!G15</f>
        <v>1720.19312</v>
      </c>
      <c r="F27" s="290">
        <f>'Water Usage'!G16</f>
        <v>979.2112299465241</v>
      </c>
      <c r="G27" s="289">
        <f t="shared" si="2"/>
        <v>36750.458042746526</v>
      </c>
      <c r="H27" s="314">
        <f t="shared" si="1"/>
        <v>22050.274825647914</v>
      </c>
      <c r="I27" s="500"/>
      <c r="J27" s="504"/>
    </row>
    <row r="28" spans="1:10" s="291" customFormat="1" ht="18" customHeight="1" outlineLevel="1">
      <c r="A28" s="287"/>
      <c r="B28" s="288">
        <v>37377</v>
      </c>
      <c r="C28" s="289">
        <f>HTHW!G41</f>
        <v>11131.962369600002</v>
      </c>
      <c r="D28" s="290">
        <f>Electric!H29</f>
        <v>15754.57</v>
      </c>
      <c r="E28" s="289">
        <f>'Nat Gas Usage'!G16</f>
        <v>2117.4696</v>
      </c>
      <c r="F28" s="290">
        <f>'Water Usage'!G17</f>
        <v>2636.6310160427806</v>
      </c>
      <c r="G28" s="289">
        <f t="shared" si="2"/>
        <v>31640.632985642784</v>
      </c>
      <c r="H28" s="316">
        <f t="shared" si="1"/>
        <v>18984.37979138567</v>
      </c>
      <c r="I28" s="500"/>
      <c r="J28" s="504"/>
    </row>
    <row r="29" spans="1:11" s="291" customFormat="1" ht="18" customHeight="1" outlineLevel="1" thickBot="1">
      <c r="A29" s="287"/>
      <c r="B29" s="297">
        <v>37408</v>
      </c>
      <c r="C29" s="460">
        <f>HTHW!G42</f>
        <v>25451.5702305</v>
      </c>
      <c r="D29" s="461">
        <f>Electric!H30</f>
        <v>16506.35</v>
      </c>
      <c r="E29" s="293">
        <f>'Nat Gas Usage'!G17</f>
        <v>819.9535999999999</v>
      </c>
      <c r="F29" s="294">
        <f>'Water Usage'!G18</f>
        <v>3131.951871657754</v>
      </c>
      <c r="G29" s="293">
        <f t="shared" si="2"/>
        <v>45909.82570215775</v>
      </c>
      <c r="H29" s="317">
        <f t="shared" si="1"/>
        <v>27545.895421294652</v>
      </c>
      <c r="I29" s="501">
        <f>SUM(H27:H29)</f>
        <v>68580.55003832823</v>
      </c>
      <c r="J29" s="505">
        <f>SUM(I18:I29)</f>
        <v>293987.75088713795</v>
      </c>
      <c r="K29" s="363">
        <f>(J29-J17)/J17</f>
        <v>0.004444524883037416</v>
      </c>
    </row>
    <row r="30" spans="1:11" s="286" customFormat="1" ht="18" customHeight="1" outlineLevel="1" collapsed="1">
      <c r="A30" s="287"/>
      <c r="B30" s="435">
        <v>37438</v>
      </c>
      <c r="C30" s="296">
        <f>HTHW!G43</f>
        <v>4882.763747999999</v>
      </c>
      <c r="D30" s="296">
        <f>Electric!H43</f>
        <v>14335.244000000006</v>
      </c>
      <c r="E30" s="285">
        <f>'Nat Gas Usage'!G30</f>
        <v>1006.0401999999999</v>
      </c>
      <c r="F30" s="296">
        <f>'Water Usage'!G31</f>
        <v>5639.03743315508</v>
      </c>
      <c r="G30" s="285">
        <f>SUM(C30:F30)</f>
        <v>25863.085381155084</v>
      </c>
      <c r="H30" s="314">
        <f>G30*0.6</f>
        <v>15517.851228693049</v>
      </c>
      <c r="I30" s="499"/>
      <c r="J30" s="504"/>
      <c r="K30" s="292"/>
    </row>
    <row r="31" spans="1:10" s="299" customFormat="1" ht="18" customHeight="1" outlineLevel="1">
      <c r="A31" s="298"/>
      <c r="B31" s="313">
        <v>37469</v>
      </c>
      <c r="C31" s="290">
        <f>HTHW!G44</f>
        <v>8069.608512</v>
      </c>
      <c r="D31" s="290">
        <f>Electric!H44</f>
        <v>17211.568000000007</v>
      </c>
      <c r="E31" s="289">
        <f>'Nat Gas Usage'!G31</f>
        <v>240.84279999999998</v>
      </c>
      <c r="F31" s="290">
        <f>'Water Usage'!G32</f>
        <v>2564.2379679144383</v>
      </c>
      <c r="G31" s="289">
        <f>SUM(C31:F31)</f>
        <v>28086.257279914444</v>
      </c>
      <c r="H31" s="316">
        <f>G31*0.6</f>
        <v>16851.754367948666</v>
      </c>
      <c r="I31" s="500"/>
      <c r="J31" s="506"/>
    </row>
    <row r="32" spans="1:10" s="299" customFormat="1" ht="18" customHeight="1" outlineLevel="1" thickBot="1">
      <c r="A32" s="298"/>
      <c r="B32" s="313">
        <v>37500</v>
      </c>
      <c r="C32" s="290">
        <f>HTHW!G45</f>
        <v>17620.496085119998</v>
      </c>
      <c r="D32" s="290">
        <f>Electric!H45</f>
        <v>17130.960000000006</v>
      </c>
      <c r="E32" s="289">
        <f>'Nat Gas Usage'!G32</f>
        <v>518.1913</v>
      </c>
      <c r="F32" s="290">
        <f>'Water Usage'!G33</f>
        <v>4198.79679144385</v>
      </c>
      <c r="G32" s="289">
        <f>SUM(C32:F32)</f>
        <v>39468.444176563855</v>
      </c>
      <c r="H32" s="355">
        <f>G32*0.6</f>
        <v>23681.066505938314</v>
      </c>
      <c r="I32" s="501">
        <f>SUM(H30:H32)</f>
        <v>56050.67210258003</v>
      </c>
      <c r="J32" s="503"/>
    </row>
    <row r="33" spans="1:10" s="299" customFormat="1" ht="18" customHeight="1" outlineLevel="1">
      <c r="A33" s="298"/>
      <c r="B33" s="313">
        <v>37530</v>
      </c>
      <c r="C33" s="290">
        <f>HTHW!G46</f>
        <v>11518.0872</v>
      </c>
      <c r="D33" s="290">
        <f>Electric!H46</f>
        <v>23084.82</v>
      </c>
      <c r="E33" s="289">
        <f>'Nat Gas Usage'!G33</f>
        <v>1478.2438</v>
      </c>
      <c r="F33" s="290">
        <f>'Water Usage'!G34</f>
        <v>3444.385026737968</v>
      </c>
      <c r="G33" s="289">
        <f aca="true" t="shared" si="3" ref="G33:G41">SUM(C33:F33)</f>
        <v>39525.536026737966</v>
      </c>
      <c r="H33" s="314">
        <f aca="true" t="shared" si="4" ref="H33:H41">G33*0.6</f>
        <v>23715.32161604278</v>
      </c>
      <c r="I33" s="499"/>
      <c r="J33" s="506"/>
    </row>
    <row r="34" spans="1:10" s="299" customFormat="1" ht="18" customHeight="1" outlineLevel="1">
      <c r="A34" s="298"/>
      <c r="B34" s="313">
        <v>37561</v>
      </c>
      <c r="C34" s="290">
        <f>HTHW!G47</f>
        <v>13214.682107999999</v>
      </c>
      <c r="D34" s="290">
        <f>Electric!H47</f>
        <v>14990.58</v>
      </c>
      <c r="E34" s="289">
        <f>'Nat Gas Usage'!G34</f>
        <v>846.7425999999999</v>
      </c>
      <c r="F34" s="290">
        <f>'Water Usage'!G35</f>
        <v>807.7540106951872</v>
      </c>
      <c r="G34" s="289">
        <f t="shared" si="3"/>
        <v>29859.758718695186</v>
      </c>
      <c r="H34" s="316">
        <f t="shared" si="4"/>
        <v>17915.855231217112</v>
      </c>
      <c r="I34" s="500"/>
      <c r="J34" s="506"/>
    </row>
    <row r="35" spans="1:10" s="299" customFormat="1" ht="18" customHeight="1" outlineLevel="1" thickBot="1">
      <c r="A35" s="298"/>
      <c r="B35" s="313">
        <v>37591</v>
      </c>
      <c r="C35" s="290">
        <f>HTHW!G48</f>
        <v>19423.805532</v>
      </c>
      <c r="D35" s="290">
        <f>Electric!H48</f>
        <v>20493.66</v>
      </c>
      <c r="E35" s="289">
        <f>'Nat Gas Usage'!G35</f>
        <v>1106.7864499999998</v>
      </c>
      <c r="F35" s="290">
        <f>'Water Usage'!G36</f>
        <v>956.350267379679</v>
      </c>
      <c r="G35" s="289">
        <f t="shared" si="3"/>
        <v>41980.60224937968</v>
      </c>
      <c r="H35" s="317">
        <f t="shared" si="4"/>
        <v>25188.361349627805</v>
      </c>
      <c r="I35" s="501">
        <f>SUM(H33:H35)</f>
        <v>66819.5381968877</v>
      </c>
      <c r="J35" s="506"/>
    </row>
    <row r="36" spans="1:10" s="284" customFormat="1" ht="18" customHeight="1" outlineLevel="1">
      <c r="A36" s="287"/>
      <c r="B36" s="313">
        <v>37622</v>
      </c>
      <c r="C36" s="290">
        <f>HTHW!G49</f>
        <v>22709.711664</v>
      </c>
      <c r="D36" s="290">
        <f>Electric!H49</f>
        <v>19153.2</v>
      </c>
      <c r="E36" s="289">
        <f>'Nat Gas Usage'!G36</f>
        <v>1186.1981999999998</v>
      </c>
      <c r="F36" s="290">
        <f>'Water Usage'!G37</f>
        <v>1219.2513368983957</v>
      </c>
      <c r="G36" s="289">
        <f t="shared" si="3"/>
        <v>44268.36120089839</v>
      </c>
      <c r="H36" s="356">
        <f t="shared" si="4"/>
        <v>26561.016720539035</v>
      </c>
      <c r="I36" s="499"/>
      <c r="J36" s="507"/>
    </row>
    <row r="37" spans="1:10" s="284" customFormat="1" ht="18" customHeight="1" outlineLevel="1">
      <c r="A37" s="287"/>
      <c r="B37" s="313">
        <v>37653</v>
      </c>
      <c r="C37" s="290">
        <f>HTHW!G50</f>
        <v>20046.032075999996</v>
      </c>
      <c r="D37" s="290">
        <f>Electric!H50</f>
        <v>19460.100000000002</v>
      </c>
      <c r="E37" s="289">
        <f>'Nat Gas Usage'!G37</f>
        <v>1383.8978999999997</v>
      </c>
      <c r="F37" s="290">
        <f>'Water Usage'!G38</f>
        <v>1348.7967914438502</v>
      </c>
      <c r="G37" s="289">
        <f t="shared" si="3"/>
        <v>42238.82676744384</v>
      </c>
      <c r="H37" s="316">
        <f t="shared" si="4"/>
        <v>25343.296060466302</v>
      </c>
      <c r="I37" s="500"/>
      <c r="J37" s="507"/>
    </row>
    <row r="38" spans="1:10" s="284" customFormat="1" ht="18" customHeight="1" outlineLevel="1" thickBot="1">
      <c r="A38" s="287"/>
      <c r="B38" s="313">
        <v>37681</v>
      </c>
      <c r="C38" s="290">
        <f>HTHW!G51</f>
        <v>16856.021592</v>
      </c>
      <c r="D38" s="290">
        <f>Electric!H51</f>
        <v>21531.84</v>
      </c>
      <c r="E38" s="289">
        <f>'Nat Gas Usage'!G38</f>
        <v>1798.2613</v>
      </c>
      <c r="F38" s="290">
        <f>'Water Usage'!G39</f>
        <v>1245.922459893048</v>
      </c>
      <c r="G38" s="289">
        <f t="shared" si="3"/>
        <v>41432.045351893044</v>
      </c>
      <c r="H38" s="355">
        <f t="shared" si="4"/>
        <v>24859.227211135825</v>
      </c>
      <c r="I38" s="501">
        <f>SUM(H36:H38)</f>
        <v>76763.53999214116</v>
      </c>
      <c r="J38" s="507"/>
    </row>
    <row r="39" spans="2:10" s="287" customFormat="1" ht="18" customHeight="1" outlineLevel="1">
      <c r="B39" s="313">
        <v>37712</v>
      </c>
      <c r="C39" s="290">
        <f>HTHW!G52</f>
        <v>8366.014019999999</v>
      </c>
      <c r="D39" s="290">
        <f>Electric!H52</f>
        <v>19062.780000000002</v>
      </c>
      <c r="E39" s="289">
        <f>'Nat Gas Usage'!G39</f>
        <v>1443.6345</v>
      </c>
      <c r="F39" s="290">
        <f>'Water Usage'!G40</f>
        <v>1211.6310160427809</v>
      </c>
      <c r="G39" s="289">
        <f t="shared" si="3"/>
        <v>30084.059536042783</v>
      </c>
      <c r="H39" s="314">
        <f t="shared" si="4"/>
        <v>18050.43572162567</v>
      </c>
      <c r="I39" s="500"/>
      <c r="J39" s="508"/>
    </row>
    <row r="40" spans="2:10" s="287" customFormat="1" ht="18" customHeight="1" outlineLevel="1">
      <c r="B40" s="313">
        <v>37742</v>
      </c>
      <c r="C40" s="290">
        <f>HTHW!G53</f>
        <v>7851.858311999999</v>
      </c>
      <c r="D40" s="290">
        <f>Electric!H53</f>
        <v>29314.56</v>
      </c>
      <c r="E40" s="289">
        <f>'Nat Gas Usage'!G40</f>
        <v>1342.1771</v>
      </c>
      <c r="F40" s="290">
        <f>'Water Usage'!G41</f>
        <v>1234.4919786096257</v>
      </c>
      <c r="G40" s="289">
        <f t="shared" si="3"/>
        <v>39743.08739060963</v>
      </c>
      <c r="H40" s="316">
        <f t="shared" si="4"/>
        <v>23845.852434365777</v>
      </c>
      <c r="I40" s="500"/>
      <c r="J40" s="508"/>
    </row>
    <row r="41" spans="2:11" s="287" customFormat="1" ht="18" customHeight="1" outlineLevel="1" thickBot="1">
      <c r="B41" s="436">
        <v>37773</v>
      </c>
      <c r="C41" s="294">
        <f>HTHW!G54</f>
        <v>11505.407207999999</v>
      </c>
      <c r="D41" s="294">
        <f>Electric!H54</f>
        <v>40821.66</v>
      </c>
      <c r="E41" s="293">
        <f>'Nat Gas Usage'!G41</f>
        <v>550.9042</v>
      </c>
      <c r="F41" s="294">
        <f>'Water Usage'!G42</f>
        <v>3566.310160427807</v>
      </c>
      <c r="G41" s="293">
        <f t="shared" si="3"/>
        <v>56444.2815684278</v>
      </c>
      <c r="H41" s="317">
        <f t="shared" si="4"/>
        <v>33866.56894105668</v>
      </c>
      <c r="I41" s="501">
        <f>SUM(H39:H41)</f>
        <v>75762.85709704812</v>
      </c>
      <c r="J41" s="505">
        <f>SUM(I30:I41)</f>
        <v>275396.607388657</v>
      </c>
      <c r="K41" s="363">
        <f>(J41-J29)/J29</f>
        <v>-0.0632378166858323</v>
      </c>
    </row>
    <row r="42" spans="1:10" s="284" customFormat="1" ht="18" customHeight="1">
      <c r="A42" s="287"/>
      <c r="B42" s="313">
        <v>37803</v>
      </c>
      <c r="C42" s="296">
        <f>HTHW!G57</f>
        <v>18440.73</v>
      </c>
      <c r="D42" s="296">
        <f>Electric!H55</f>
        <v>32657.63333333333</v>
      </c>
      <c r="E42" s="285">
        <f>'Nat Gas Usage'!G42</f>
        <v>796.4708737864078</v>
      </c>
      <c r="F42" s="296">
        <f>'Water Usage'!G43</f>
        <v>4760.227272727273</v>
      </c>
      <c r="G42" s="285">
        <f>SUM(C42:F42)</f>
        <v>56655.061479847005</v>
      </c>
      <c r="H42" s="314">
        <f>G42*0.6</f>
        <v>33993.0368879082</v>
      </c>
      <c r="I42" s="500"/>
      <c r="J42" s="507"/>
    </row>
    <row r="43" spans="1:10" s="284" customFormat="1" ht="18" customHeight="1">
      <c r="A43" s="287"/>
      <c r="B43" s="313">
        <v>37834</v>
      </c>
      <c r="C43" s="290">
        <f>HTHW!G58</f>
        <v>28638.225</v>
      </c>
      <c r="D43" s="290">
        <f>Electric!H56</f>
        <v>32657.63333333333</v>
      </c>
      <c r="E43" s="289">
        <f>'Nat Gas Usage'!G43</f>
        <v>897.9990291262136</v>
      </c>
      <c r="F43" s="290">
        <f>'Water Usage'!G44</f>
        <v>8827.540106951872</v>
      </c>
      <c r="G43" s="289">
        <f>SUM(C43:F43)</f>
        <v>71021.39746941141</v>
      </c>
      <c r="H43" s="316">
        <f>G43*0.6</f>
        <v>42612.838481646846</v>
      </c>
      <c r="I43" s="500"/>
      <c r="J43" s="507"/>
    </row>
    <row r="44" spans="1:10" s="284" customFormat="1" ht="18" customHeight="1" thickBot="1">
      <c r="A44" s="287"/>
      <c r="B44" s="313">
        <v>37865</v>
      </c>
      <c r="C44" s="294">
        <f>HTHW!G59</f>
        <v>15696.449999999999</v>
      </c>
      <c r="D44" s="294">
        <f>Electric!H57</f>
        <v>32657.63333333333</v>
      </c>
      <c r="E44" s="293">
        <f>'Nat Gas Usage'!G44</f>
        <v>433.53689320388344</v>
      </c>
      <c r="F44" s="294">
        <f>'Water Usage'!G45</f>
        <v>3027.9411764705887</v>
      </c>
      <c r="G44" s="293">
        <f>SUM(C44:F44)</f>
        <v>51815.5614030078</v>
      </c>
      <c r="H44" s="317">
        <f>G44*0.6</f>
        <v>31089.336841804678</v>
      </c>
      <c r="I44" s="501">
        <f>SUM(H42:H44)</f>
        <v>107695.21221135973</v>
      </c>
      <c r="J44" s="507"/>
    </row>
    <row r="45" spans="1:10" s="299" customFormat="1" ht="18" customHeight="1">
      <c r="A45" s="298"/>
      <c r="B45" s="313">
        <v>37895</v>
      </c>
      <c r="C45" s="296">
        <f>HTHW!G60</f>
        <v>20155.905</v>
      </c>
      <c r="D45" s="296">
        <f>Electric!H58</f>
        <v>26241.6</v>
      </c>
      <c r="E45" s="285">
        <f>'Nat Gas Usage'!G45</f>
        <v>1105.7233009708737</v>
      </c>
      <c r="F45" s="296">
        <f>'Water Usage'!G46</f>
        <v>2728.94385026738</v>
      </c>
      <c r="G45" s="285">
        <f>SUM(C45:F45)</f>
        <v>50232.17215123825</v>
      </c>
      <c r="H45" s="314">
        <f>G45*0.6</f>
        <v>30139.303290742948</v>
      </c>
      <c r="I45" s="500"/>
      <c r="J45" s="506"/>
    </row>
    <row r="46" spans="1:10" s="299" customFormat="1" ht="18" customHeight="1">
      <c r="A46" s="298"/>
      <c r="B46" s="313">
        <v>37926</v>
      </c>
      <c r="C46" s="290">
        <f>HTHW!G61</f>
        <v>21195.405</v>
      </c>
      <c r="D46" s="290">
        <f>Electric!H59</f>
        <v>21037.3</v>
      </c>
      <c r="E46" s="289">
        <f>'Nat Gas Usage'!G46</f>
        <v>560.7388349514563</v>
      </c>
      <c r="F46" s="290">
        <f>'Water Usage'!G47</f>
        <v>2477.4064171122996</v>
      </c>
      <c r="G46" s="289">
        <f>SUM(C46:F46)</f>
        <v>45270.85025206376</v>
      </c>
      <c r="H46" s="316">
        <f>G46*0.6</f>
        <v>27162.510151238257</v>
      </c>
      <c r="I46" s="500"/>
      <c r="J46" s="506"/>
    </row>
    <row r="47" spans="1:10" s="284" customFormat="1" ht="18" customHeight="1" thickBot="1">
      <c r="A47" s="287"/>
      <c r="B47" s="313">
        <v>37956</v>
      </c>
      <c r="C47" s="294">
        <f>HTHW!G62</f>
        <v>43905.361500000006</v>
      </c>
      <c r="D47" s="294">
        <f>Electric!H60</f>
        <v>27732.6</v>
      </c>
      <c r="E47" s="293">
        <f>'Nat Gas Usage'!G47</f>
        <v>1421.3941747572815</v>
      </c>
      <c r="F47" s="294">
        <f>'Water Usage'!G48</f>
        <v>1528.2085561497329</v>
      </c>
      <c r="G47" s="293">
        <f aca="true" t="shared" si="5" ref="G47:G52">SUM(C47:F47)</f>
        <v>74587.56423090702</v>
      </c>
      <c r="H47" s="317">
        <f aca="true" t="shared" si="6" ref="H47:H53">G47*0.6</f>
        <v>44752.53853854421</v>
      </c>
      <c r="I47" s="501">
        <f>SUM(H45:H47)</f>
        <v>102054.35198052542</v>
      </c>
      <c r="J47" s="507"/>
    </row>
    <row r="48" spans="1:10" s="284" customFormat="1" ht="18" customHeight="1">
      <c r="A48" s="287"/>
      <c r="B48" s="313">
        <v>37987</v>
      </c>
      <c r="C48" s="296">
        <f>HTHW!G63</f>
        <v>41447.46374999996</v>
      </c>
      <c r="D48" s="296">
        <f>Electric!H61</f>
        <v>22606.399999999998</v>
      </c>
      <c r="E48" s="285">
        <f>'Nat Gas Usage'!G48</f>
        <v>1586.5233009708736</v>
      </c>
      <c r="F48" s="296">
        <f>'Water Usage'!G49</f>
        <v>1589.9064171122996</v>
      </c>
      <c r="G48" s="285">
        <f t="shared" si="5"/>
        <v>67230.29346808314</v>
      </c>
      <c r="H48" s="314">
        <f t="shared" si="6"/>
        <v>40338.17608084988</v>
      </c>
      <c r="I48" s="500"/>
      <c r="J48" s="507"/>
    </row>
    <row r="49" spans="1:10" s="284" customFormat="1" ht="18" customHeight="1">
      <c r="A49" s="287"/>
      <c r="B49" s="313">
        <v>38018</v>
      </c>
      <c r="C49" s="290">
        <f>HTHW!G64</f>
        <v>32317.535250000044</v>
      </c>
      <c r="D49" s="290">
        <f>Electric!H62</f>
        <v>21150.899999999998</v>
      </c>
      <c r="E49" s="289">
        <f>'Nat Gas Usage'!G49</f>
        <v>1560.8495145631066</v>
      </c>
      <c r="F49" s="290">
        <f>'Water Usage'!G50</f>
        <v>1343.1149732620322</v>
      </c>
      <c r="G49" s="289">
        <f t="shared" si="5"/>
        <v>56372.39973782518</v>
      </c>
      <c r="H49" s="316">
        <f t="shared" si="6"/>
        <v>33823.43984269511</v>
      </c>
      <c r="I49" s="500"/>
      <c r="J49" s="507"/>
    </row>
    <row r="50" spans="1:10" s="284" customFormat="1" ht="18" customHeight="1" thickBot="1">
      <c r="A50" s="287"/>
      <c r="B50" s="313">
        <v>38047</v>
      </c>
      <c r="C50" s="294">
        <f>HTHW!G65</f>
        <v>22167.753300000008</v>
      </c>
      <c r="D50" s="294">
        <f>Electric!H63</f>
        <v>20788.8</v>
      </c>
      <c r="E50" s="293">
        <f>'Nat Gas Usage'!G50</f>
        <v>1925.5339805825242</v>
      </c>
      <c r="F50" s="294">
        <f>'Water Usage'!G51</f>
        <v>1447.5267379679146</v>
      </c>
      <c r="G50" s="293">
        <f t="shared" si="5"/>
        <v>46329.61401855045</v>
      </c>
      <c r="H50" s="317">
        <f t="shared" si="6"/>
        <v>27797.76841113027</v>
      </c>
      <c r="I50" s="501">
        <f>SUM(H48:H50)</f>
        <v>101959.38433467525</v>
      </c>
      <c r="J50" s="507"/>
    </row>
    <row r="51" spans="1:10" s="284" customFormat="1" ht="18" customHeight="1">
      <c r="A51" s="287"/>
      <c r="B51" s="313">
        <v>38078</v>
      </c>
      <c r="C51" s="290">
        <f>HTHW!G66</f>
        <v>23240.725199999946</v>
      </c>
      <c r="D51" s="290">
        <f>Electric!H64</f>
        <v>29450.799999999996</v>
      </c>
      <c r="E51" s="289">
        <f>'Nat Gas Usage'!G51</f>
        <v>2596.5533980582522</v>
      </c>
      <c r="F51" s="290">
        <f>'Water Usage'!G52</f>
        <v>2102.4732620320856</v>
      </c>
      <c r="G51" s="289">
        <f t="shared" si="5"/>
        <v>57390.55186009029</v>
      </c>
      <c r="H51" s="316">
        <f t="shared" si="6"/>
        <v>34434.33111605417</v>
      </c>
      <c r="I51" s="500"/>
      <c r="J51" s="507"/>
    </row>
    <row r="52" spans="1:10" s="284" customFormat="1" ht="18" customHeight="1">
      <c r="A52" s="287"/>
      <c r="B52" s="313">
        <v>38108</v>
      </c>
      <c r="C52" s="290">
        <f>HTHW!G67</f>
        <v>18220.35600000003</v>
      </c>
      <c r="D52" s="290">
        <f>Electric!H65</f>
        <v>28449.699999999997</v>
      </c>
      <c r="E52" s="289">
        <f>'Nat Gas Usage'!G52</f>
        <v>1959.3766990291263</v>
      </c>
      <c r="F52" s="290">
        <f>'Water Usage'!G53</f>
        <v>2126.20320855615</v>
      </c>
      <c r="G52" s="289">
        <f t="shared" si="5"/>
        <v>50755.6359075853</v>
      </c>
      <c r="H52" s="316">
        <f t="shared" si="6"/>
        <v>30453.38154455118</v>
      </c>
      <c r="I52" s="500"/>
      <c r="J52" s="507"/>
    </row>
    <row r="53" spans="1:11" s="284" customFormat="1" ht="18" customHeight="1" thickBot="1">
      <c r="A53" s="287"/>
      <c r="B53" s="319">
        <v>38139</v>
      </c>
      <c r="C53" s="320">
        <f>HTHW!G68</f>
        <v>18276.48899999997</v>
      </c>
      <c r="D53" s="320">
        <f>Electric!H66</f>
        <v>33064.7</v>
      </c>
      <c r="E53" s="321">
        <f>'Nat Gas Usage'!G53</f>
        <v>1730.0631067961165</v>
      </c>
      <c r="F53" s="320">
        <f>'Water Usage'!G54</f>
        <v>2800.1336898395725</v>
      </c>
      <c r="G53" s="321">
        <f aca="true" t="shared" si="7" ref="G53:G65">SUM(C53:F53)</f>
        <v>55871.38579663566</v>
      </c>
      <c r="H53" s="318">
        <f t="shared" si="6"/>
        <v>33522.831477981395</v>
      </c>
      <c r="I53" s="501">
        <f>SUM(H51:H53)</f>
        <v>98410.54413858675</v>
      </c>
      <c r="J53" s="437">
        <f>SUM(I42:I53)</f>
        <v>410119.4926651471</v>
      </c>
      <c r="K53" s="363">
        <f>(J53-J41)/J41</f>
        <v>0.4891958784603353</v>
      </c>
    </row>
    <row r="54" spans="1:10" s="284" customFormat="1" ht="18" customHeight="1">
      <c r="A54" s="287"/>
      <c r="B54" s="313">
        <v>38195</v>
      </c>
      <c r="C54" s="290">
        <f>HTHW!G69</f>
        <v>27139.07109375</v>
      </c>
      <c r="D54" s="290">
        <f>Electric!H67</f>
        <v>54675</v>
      </c>
      <c r="E54" s="289">
        <f>'Nat Gas Usage'!G54</f>
        <v>2398.9902912621355</v>
      </c>
      <c r="F54" s="290">
        <f>'Water Usage'!G55</f>
        <v>5377.205882352941</v>
      </c>
      <c r="G54" s="289">
        <f t="shared" si="7"/>
        <v>89590.26726736507</v>
      </c>
      <c r="H54" s="316">
        <f aca="true" t="shared" si="8" ref="H54:H65">G54*0.6</f>
        <v>53754.16036041904</v>
      </c>
      <c r="I54" s="500"/>
      <c r="J54" s="507"/>
    </row>
    <row r="55" spans="1:10" s="284" customFormat="1" ht="18" customHeight="1">
      <c r="A55" s="287"/>
      <c r="B55" s="313">
        <v>38200</v>
      </c>
      <c r="C55" s="290">
        <f>HTHW!G70</f>
        <v>30835.937343750018</v>
      </c>
      <c r="D55" s="290">
        <f>Electric!H68</f>
        <v>53095.5</v>
      </c>
      <c r="E55" s="289">
        <f>'Nat Gas Usage'!G55</f>
        <v>1774.52427184466</v>
      </c>
      <c r="F55" s="290">
        <f>'Water Usage'!G56</f>
        <v>8666.176470588236</v>
      </c>
      <c r="G55" s="289">
        <f t="shared" si="7"/>
        <v>94372.13808618291</v>
      </c>
      <c r="H55" s="316">
        <f t="shared" si="8"/>
        <v>56623.282851709744</v>
      </c>
      <c r="I55" s="500"/>
      <c r="J55" s="507"/>
    </row>
    <row r="56" spans="1:10" s="284" customFormat="1" ht="18" customHeight="1" thickBot="1">
      <c r="A56" s="287"/>
      <c r="B56" s="319">
        <v>38231</v>
      </c>
      <c r="C56" s="320">
        <f>HTHW!G71</f>
        <v>24096.764999999985</v>
      </c>
      <c r="D56" s="320">
        <f>Electric!H69</f>
        <v>45157.5</v>
      </c>
      <c r="E56" s="321">
        <f>'Nat Gas Usage'!G56</f>
        <v>1705.5728155339802</v>
      </c>
      <c r="F56" s="320">
        <f>'Water Usage'!G57</f>
        <v>4465.9759358288775</v>
      </c>
      <c r="G56" s="321">
        <f t="shared" si="7"/>
        <v>75425.81375136283</v>
      </c>
      <c r="H56" s="318">
        <f t="shared" si="8"/>
        <v>45255.488250817696</v>
      </c>
      <c r="I56" s="501">
        <f>SUM(H54:H56)</f>
        <v>155632.93146294646</v>
      </c>
      <c r="J56" s="507"/>
    </row>
    <row r="57" spans="1:10" s="284" customFormat="1" ht="18" customHeight="1">
      <c r="A57" s="287"/>
      <c r="B57" s="313">
        <v>38261</v>
      </c>
      <c r="C57" s="290">
        <f>HTHW!G72</f>
        <v>21872.379375000033</v>
      </c>
      <c r="D57" s="290">
        <f>Electric!H70</f>
        <v>30690.9</v>
      </c>
      <c r="E57" s="289">
        <f>'Nat Gas Usage'!G57</f>
        <v>2136.194174757281</v>
      </c>
      <c r="F57" s="290">
        <f>'Water Usage'!G58</f>
        <v>3763.5695187165775</v>
      </c>
      <c r="G57" s="289">
        <f t="shared" si="7"/>
        <v>58463.04306847389</v>
      </c>
      <c r="H57" s="316">
        <f t="shared" si="8"/>
        <v>35077.825841084334</v>
      </c>
      <c r="I57" s="500"/>
      <c r="J57" s="507"/>
    </row>
    <row r="58" spans="1:10" s="284" customFormat="1" ht="18" customHeight="1">
      <c r="A58" s="287"/>
      <c r="B58" s="313">
        <v>38292</v>
      </c>
      <c r="C58" s="290">
        <f>HTHW!G73</f>
        <v>24138.164531250033</v>
      </c>
      <c r="D58" s="290">
        <f>Electric!H71</f>
        <v>27297</v>
      </c>
      <c r="E58" s="289">
        <f>'Nat Gas Usage'!G58</f>
        <v>2241.5728155339802</v>
      </c>
      <c r="F58" s="290">
        <f>'Water Usage'!G59</f>
        <v>1950.601604278075</v>
      </c>
      <c r="G58" s="289">
        <f t="shared" si="7"/>
        <v>55627.33895106209</v>
      </c>
      <c r="H58" s="316">
        <f t="shared" si="8"/>
        <v>33376.40337063725</v>
      </c>
      <c r="I58" s="500"/>
      <c r="J58" s="507"/>
    </row>
    <row r="59" spans="1:10" s="284" customFormat="1" ht="18" customHeight="1" thickBot="1">
      <c r="A59" s="287"/>
      <c r="B59" s="319">
        <v>38322</v>
      </c>
      <c r="C59" s="320">
        <f>HTHW!G74</f>
        <v>34279.93078124997</v>
      </c>
      <c r="D59" s="320">
        <f>Electric!H72</f>
        <v>27410.4</v>
      </c>
      <c r="E59" s="321">
        <f>'Nat Gas Usage'!G59</f>
        <v>2685.854368932038</v>
      </c>
      <c r="F59" s="320">
        <f>'Water Usage'!G60</f>
        <v>1167.5133689839574</v>
      </c>
      <c r="G59" s="321">
        <f t="shared" si="7"/>
        <v>65543.69851916596</v>
      </c>
      <c r="H59" s="318">
        <f t="shared" si="8"/>
        <v>39326.21911149957</v>
      </c>
      <c r="I59" s="501">
        <f>SUM(H57:H59)</f>
        <v>107780.44832322115</v>
      </c>
      <c r="J59" s="507"/>
    </row>
    <row r="60" spans="1:10" s="284" customFormat="1" ht="18" customHeight="1">
      <c r="A60" s="287"/>
      <c r="B60" s="313">
        <v>38353</v>
      </c>
      <c r="C60" s="290">
        <f>HTHW!G75</f>
        <v>32626.187343750018</v>
      </c>
      <c r="D60" s="290">
        <f>Electric!H73</f>
        <v>22898.7</v>
      </c>
      <c r="E60" s="289">
        <f>'Nat Gas Usage'!G60</f>
        <v>2639.669902912621</v>
      </c>
      <c r="F60" s="290">
        <f>'Water Usage'!G61</f>
        <v>1523.4625668449198</v>
      </c>
      <c r="G60" s="289">
        <f t="shared" si="7"/>
        <v>59688.019813507555</v>
      </c>
      <c r="H60" s="316">
        <f t="shared" si="8"/>
        <v>35812.81188810453</v>
      </c>
      <c r="I60" s="500"/>
      <c r="J60" s="507"/>
    </row>
    <row r="61" spans="1:10" s="284" customFormat="1" ht="18" customHeight="1">
      <c r="A61" s="287"/>
      <c r="B61" s="313">
        <v>38384</v>
      </c>
      <c r="C61" s="290">
        <f>HTHW!G76</f>
        <v>32728.00781249992</v>
      </c>
      <c r="D61" s="290">
        <f>Electric!H74</f>
        <v>23271.3</v>
      </c>
      <c r="E61" s="289">
        <f>'Nat Gas Usage'!G61</f>
        <v>3048.174757281553</v>
      </c>
      <c r="F61" s="290">
        <f>'Water Usage'!G62</f>
        <v>1466.5106951871658</v>
      </c>
      <c r="G61" s="289">
        <f t="shared" si="7"/>
        <v>60513.99326496863</v>
      </c>
      <c r="H61" s="316">
        <f t="shared" si="8"/>
        <v>36308.39595898118</v>
      </c>
      <c r="I61" s="500"/>
      <c r="J61" s="507"/>
    </row>
    <row r="62" spans="1:10" s="284" customFormat="1" ht="18" customHeight="1" thickBot="1">
      <c r="A62" s="287"/>
      <c r="B62" s="319">
        <v>38412</v>
      </c>
      <c r="C62" s="320">
        <f>HTHW!G77</f>
        <v>25248.119531250002</v>
      </c>
      <c r="D62" s="320">
        <f>Electric!H75</f>
        <v>17860.5</v>
      </c>
      <c r="E62" s="321">
        <f>'Nat Gas Usage'!G62</f>
        <v>2587.6310679611647</v>
      </c>
      <c r="F62" s="320">
        <f>'Water Usage'!G63</f>
        <v>920.72192513369</v>
      </c>
      <c r="G62" s="321">
        <f t="shared" si="7"/>
        <v>46616.972524344856</v>
      </c>
      <c r="H62" s="318">
        <f t="shared" si="8"/>
        <v>27970.183514606913</v>
      </c>
      <c r="I62" s="501">
        <f>SUM(H60:H62)</f>
        <v>100091.39136169263</v>
      </c>
      <c r="J62" s="507"/>
    </row>
    <row r="63" spans="1:10" s="284" customFormat="1" ht="18" customHeight="1">
      <c r="A63" s="287"/>
      <c r="B63" s="313">
        <v>38443</v>
      </c>
      <c r="C63" s="290">
        <f>HTHW!G78</f>
        <v>23530.5984375</v>
      </c>
      <c r="D63" s="290">
        <f>Electric!H76</f>
        <v>30780</v>
      </c>
      <c r="E63" s="289">
        <f>'Nat Gas Usage'!G63</f>
        <v>4249.6213592233</v>
      </c>
      <c r="F63" s="290">
        <f>'Water Usage'!G64</f>
        <v>1741.7780748663104</v>
      </c>
      <c r="G63" s="289">
        <f t="shared" si="7"/>
        <v>60301.99787158961</v>
      </c>
      <c r="H63" s="316">
        <f t="shared" si="8"/>
        <v>36181.19872295376</v>
      </c>
      <c r="I63" s="500"/>
      <c r="J63" s="507"/>
    </row>
    <row r="64" spans="1:10" s="284" customFormat="1" ht="18" customHeight="1">
      <c r="A64" s="287"/>
      <c r="B64" s="313">
        <v>38473</v>
      </c>
      <c r="C64" s="290">
        <f>HTHW!G79</f>
        <v>13984.090312500033</v>
      </c>
      <c r="D64" s="290">
        <f>Electric!H77</f>
        <v>26138.7</v>
      </c>
      <c r="E64" s="289">
        <f>'Nat Gas Usage'!G64</f>
        <v>3308.3689320388344</v>
      </c>
      <c r="F64" s="290">
        <f>'Water Usage'!G65</f>
        <v>1551.9385026737968</v>
      </c>
      <c r="G64" s="289">
        <f t="shared" si="7"/>
        <v>44983.09774721266</v>
      </c>
      <c r="H64" s="316">
        <f t="shared" si="8"/>
        <v>26989.858648327598</v>
      </c>
      <c r="I64" s="500"/>
      <c r="J64" s="507"/>
    </row>
    <row r="65" spans="1:11" s="284" customFormat="1" ht="18" customHeight="1" thickBot="1">
      <c r="A65" s="287"/>
      <c r="B65" s="319">
        <v>38504</v>
      </c>
      <c r="C65" s="320">
        <f>HTHW!G80</f>
        <v>14953.063125000099</v>
      </c>
      <c r="D65" s="320">
        <f>Electric!H78</f>
        <v>45724.5</v>
      </c>
      <c r="E65" s="321">
        <f>'Nat Gas Usage'!G65</f>
        <v>2740.4951456310678</v>
      </c>
      <c r="F65" s="320">
        <f>'Water Usage'!G66</f>
        <v>3806.2834224598932</v>
      </c>
      <c r="G65" s="321">
        <f t="shared" si="7"/>
        <v>67224.34169309106</v>
      </c>
      <c r="H65" s="318">
        <f t="shared" si="8"/>
        <v>40334.605015854635</v>
      </c>
      <c r="I65" s="501">
        <f>SUM(H63:H65)</f>
        <v>103505.66238713599</v>
      </c>
      <c r="J65" s="437">
        <f>SUM(I54:I65)</f>
        <v>467010.43353499623</v>
      </c>
      <c r="K65" s="363">
        <f>(J65-J53)/J53</f>
        <v>0.1387179636357817</v>
      </c>
    </row>
    <row r="66" spans="1:10" s="284" customFormat="1" ht="18" customHeight="1">
      <c r="A66" s="287"/>
      <c r="B66" s="313">
        <v>38534</v>
      </c>
      <c r="C66" s="296">
        <f>HTHW!G81</f>
        <v>15203.991928124962</v>
      </c>
      <c r="D66" s="296">
        <f>Electric!H79</f>
        <v>54067.5</v>
      </c>
      <c r="E66" s="285">
        <f>'Nat Gas Usage'!G66</f>
        <v>2445.614951456311</v>
      </c>
      <c r="F66" s="296">
        <f>'Water Usage'!G67</f>
        <v>5111.4304812834225</v>
      </c>
      <c r="G66" s="285">
        <f>SUM(C66:F66)</f>
        <v>76828.53736086469</v>
      </c>
      <c r="H66" s="314">
        <f>G66*0.6</f>
        <v>46097.12241651881</v>
      </c>
      <c r="I66" s="500"/>
      <c r="J66" s="507"/>
    </row>
    <row r="67" spans="1:10" s="284" customFormat="1" ht="18" customHeight="1">
      <c r="A67" s="287"/>
      <c r="B67" s="313">
        <v>38565</v>
      </c>
      <c r="C67" s="290">
        <f>HTHW!G82</f>
        <v>36502.928962500024</v>
      </c>
      <c r="D67" s="290">
        <f>Electric!H80</f>
        <v>59883.3</v>
      </c>
      <c r="E67" s="289">
        <f>'Nat Gas Usage'!G67</f>
        <v>2164.824660194175</v>
      </c>
      <c r="F67" s="290">
        <f>'Water Usage'!G68</f>
        <v>5505.347593582888</v>
      </c>
      <c r="G67" s="289">
        <f>SUM(C67:F67)</f>
        <v>104056.4012162771</v>
      </c>
      <c r="H67" s="316">
        <f>G67*0.6</f>
        <v>62433.840729766256</v>
      </c>
      <c r="I67" s="500"/>
      <c r="J67" s="507"/>
    </row>
    <row r="68" spans="1:10" s="284" customFormat="1" ht="18" customHeight="1" thickBot="1">
      <c r="A68" s="287"/>
      <c r="B68" s="319">
        <v>38596</v>
      </c>
      <c r="C68" s="294">
        <f>HTHW!G83</f>
        <v>28318.73106562489</v>
      </c>
      <c r="D68" s="294">
        <f>Electric!H81</f>
        <v>54901.8</v>
      </c>
      <c r="E68" s="293">
        <f>'Nat Gas Usage'!G68</f>
        <v>2251.8011650485437</v>
      </c>
      <c r="F68" s="294">
        <f>'Water Usage'!G69</f>
        <v>5695.187165775401</v>
      </c>
      <c r="G68" s="293">
        <f>SUM(C68:F68)</f>
        <v>91167.51939644883</v>
      </c>
      <c r="H68" s="317">
        <f>G68*0.6</f>
        <v>54700.5116378693</v>
      </c>
      <c r="I68" s="501">
        <f>SUM(H66:H68)</f>
        <v>163231.47478415436</v>
      </c>
      <c r="J68" s="507"/>
    </row>
    <row r="69" spans="1:10" s="284" customFormat="1" ht="18" customHeight="1">
      <c r="A69" s="287"/>
      <c r="B69" s="313">
        <v>38626</v>
      </c>
      <c r="C69" s="296">
        <f>HTHW!G84</f>
        <v>17878.426190625065</v>
      </c>
      <c r="D69" s="296">
        <f>Electric!H82</f>
        <v>34935.3</v>
      </c>
      <c r="E69" s="285">
        <f>'Nat Gas Usage'!G69</f>
        <v>2920.2190291262136</v>
      </c>
      <c r="F69" s="296">
        <f>'Water Usage'!G70</f>
        <v>2752.673796791444</v>
      </c>
      <c r="G69" s="285">
        <f>SUM(C69:F69)</f>
        <v>58486.619016542725</v>
      </c>
      <c r="H69" s="314">
        <f>G69*0.6</f>
        <v>35091.97140992563</v>
      </c>
      <c r="I69" s="500"/>
      <c r="J69" s="507"/>
    </row>
    <row r="70" spans="1:10" s="284" customFormat="1" ht="18" customHeight="1">
      <c r="A70" s="287"/>
      <c r="B70" s="313">
        <v>38657</v>
      </c>
      <c r="C70" s="290">
        <f>HTHW!G85</f>
        <v>19853.26468125003</v>
      </c>
      <c r="D70" s="290">
        <f>Electric!H83</f>
        <v>24551.100000000002</v>
      </c>
      <c r="E70" s="289">
        <f>'Nat Gas Usage'!G70</f>
        <v>2767.496504854369</v>
      </c>
      <c r="F70" s="290">
        <f>'Water Usage'!G71</f>
        <v>1566.1764705882354</v>
      </c>
      <c r="G70" s="289">
        <f>SUM(C70:F70)</f>
        <v>48738.03765669264</v>
      </c>
      <c r="H70" s="316">
        <f>G70*0.6</f>
        <v>29242.822594015586</v>
      </c>
      <c r="I70" s="500"/>
      <c r="J70" s="507"/>
    </row>
    <row r="71" spans="1:10" s="284" customFormat="1" ht="18" customHeight="1" thickBot="1">
      <c r="A71" s="287"/>
      <c r="B71" s="319">
        <v>38687</v>
      </c>
      <c r="C71" s="294">
        <f>HTHW!G86</f>
        <v>25198.557759374857</v>
      </c>
      <c r="D71" s="294">
        <f>Electric!H84</f>
        <v>18954</v>
      </c>
      <c r="E71" s="293">
        <f>'Nat Gas Usage'!G71</f>
        <v>2192.9036893203884</v>
      </c>
      <c r="F71" s="294">
        <f>'Water Usage'!G72</f>
        <v>892.2459893048128</v>
      </c>
      <c r="G71" s="293">
        <f aca="true" t="shared" si="9" ref="G71:G76">SUM(C71:F71)</f>
        <v>47237.70743800006</v>
      </c>
      <c r="H71" s="317">
        <f aca="true" t="shared" si="10" ref="H71:H113">G71*0.6</f>
        <v>28342.62446280004</v>
      </c>
      <c r="I71" s="501">
        <f>SUM(H69:H71)</f>
        <v>92677.41846674126</v>
      </c>
      <c r="J71" s="507"/>
    </row>
    <row r="72" spans="1:10" s="284" customFormat="1" ht="18" customHeight="1">
      <c r="A72" s="287"/>
      <c r="B72" s="313">
        <v>38718</v>
      </c>
      <c r="C72" s="296">
        <f>HTHW!G87</f>
        <v>39670.77489375006</v>
      </c>
      <c r="D72" s="296">
        <f>Electric!H85</f>
        <v>29508.3</v>
      </c>
      <c r="E72" s="285">
        <f>'Nat Gas Usage'!G72</f>
        <v>3324.9679611650486</v>
      </c>
      <c r="F72" s="296">
        <f>'Water Usage'!G73</f>
        <v>1390.5748663101606</v>
      </c>
      <c r="G72" s="285">
        <f t="shared" si="9"/>
        <v>73894.61772122527</v>
      </c>
      <c r="H72" s="314">
        <f t="shared" si="10"/>
        <v>44336.770632735155</v>
      </c>
      <c r="I72" s="500"/>
      <c r="J72" s="507"/>
    </row>
    <row r="73" spans="1:10" s="284" customFormat="1" ht="18" customHeight="1">
      <c r="A73" s="287"/>
      <c r="B73" s="313">
        <v>38749</v>
      </c>
      <c r="C73" s="290">
        <f>HTHW!G88</f>
        <v>34842.72979687499</v>
      </c>
      <c r="D73" s="290">
        <f>Electric!H86</f>
        <v>25045.2</v>
      </c>
      <c r="E73" s="289">
        <f>'Nat Gas Usage'!G73</f>
        <v>2867.4852427184464</v>
      </c>
      <c r="F73" s="290">
        <f>'Water Usage'!G74</f>
        <v>1442.7807486631018</v>
      </c>
      <c r="G73" s="289">
        <f t="shared" si="9"/>
        <v>64198.19578825653</v>
      </c>
      <c r="H73" s="316">
        <f t="shared" si="10"/>
        <v>38518.917472953915</v>
      </c>
      <c r="I73" s="500"/>
      <c r="J73" s="507"/>
    </row>
    <row r="74" spans="1:10" s="284" customFormat="1" ht="18" customHeight="1" thickBot="1">
      <c r="A74" s="287"/>
      <c r="B74" s="319">
        <v>38777</v>
      </c>
      <c r="C74" s="294">
        <f>HTHW!G89</f>
        <v>26231.861906249993</v>
      </c>
      <c r="D74" s="294">
        <f>Electric!H87</f>
        <v>23692.5</v>
      </c>
      <c r="E74" s="293">
        <f>'Nat Gas Usage'!G74</f>
        <v>2972.952815533981</v>
      </c>
      <c r="F74" s="294">
        <f>'Water Usage'!G75</f>
        <v>1129.5454545454545</v>
      </c>
      <c r="G74" s="293">
        <f t="shared" si="9"/>
        <v>54026.86017632943</v>
      </c>
      <c r="H74" s="317">
        <f t="shared" si="10"/>
        <v>32416.116105797657</v>
      </c>
      <c r="I74" s="501">
        <f>SUM(H72:H74)</f>
        <v>115271.80421148673</v>
      </c>
      <c r="J74" s="507"/>
    </row>
    <row r="75" spans="1:10" s="284" customFormat="1" ht="18" customHeight="1">
      <c r="A75" s="287"/>
      <c r="B75" s="313">
        <v>38808</v>
      </c>
      <c r="C75" s="296">
        <f>HTHW!G90</f>
        <v>24053.22294374996</v>
      </c>
      <c r="D75" s="296">
        <f>Electric!H88</f>
        <v>27750.600000000002</v>
      </c>
      <c r="E75" s="285">
        <f>'Nat Gas Usage'!G75</f>
        <v>3445.5023300970875</v>
      </c>
      <c r="F75" s="296">
        <f>'Water Usage'!G76</f>
        <v>1252.941176470588</v>
      </c>
      <c r="G75" s="285">
        <f t="shared" si="9"/>
        <v>56502.266450317635</v>
      </c>
      <c r="H75" s="314">
        <f t="shared" si="10"/>
        <v>33901.35987019058</v>
      </c>
      <c r="I75" s="354"/>
      <c r="J75" s="507"/>
    </row>
    <row r="76" spans="1:10" s="284" customFormat="1" ht="18" customHeight="1">
      <c r="A76" s="287"/>
      <c r="B76" s="313">
        <v>38838</v>
      </c>
      <c r="C76" s="290">
        <f>HTHW!G91</f>
        <v>12115.516913434934</v>
      </c>
      <c r="D76" s="290">
        <f>Electric!H89</f>
        <v>27750.600000000002</v>
      </c>
      <c r="E76" s="289">
        <f>'Nat Gas Usage'!G76</f>
        <v>3732.4563106796118</v>
      </c>
      <c r="F76" s="290">
        <f>'Water Usage'!G77</f>
        <v>1793.9839572192514</v>
      </c>
      <c r="G76" s="289">
        <f t="shared" si="9"/>
        <v>45392.557181333796</v>
      </c>
      <c r="H76" s="316">
        <f t="shared" si="10"/>
        <v>27235.534308800277</v>
      </c>
      <c r="I76" s="315"/>
      <c r="J76" s="507"/>
    </row>
    <row r="77" spans="1:11" s="284" customFormat="1" ht="18" customHeight="1" thickBot="1">
      <c r="A77" s="287"/>
      <c r="B77" s="319">
        <v>38869</v>
      </c>
      <c r="C77" s="320">
        <f>HTHW!G92</f>
        <v>12919.566726802312</v>
      </c>
      <c r="D77" s="320">
        <f>Electric!H90</f>
        <v>36077.4</v>
      </c>
      <c r="E77" s="321">
        <f>'Nat Gas Usage'!G77</f>
        <v>2525.058058252427</v>
      </c>
      <c r="F77" s="320">
        <f>'Water Usage'!G78</f>
        <v>3431.3502673796793</v>
      </c>
      <c r="G77" s="321">
        <f>SUM(C77:F77)</f>
        <v>54953.37505243442</v>
      </c>
      <c r="H77" s="318">
        <f t="shared" si="10"/>
        <v>32972.02503146065</v>
      </c>
      <c r="I77" s="318">
        <f>SUM(H75:H77)</f>
        <v>94108.91921045151</v>
      </c>
      <c r="J77" s="437">
        <f>SUM(I66:I77)</f>
        <v>465289.6166728338</v>
      </c>
      <c r="K77" s="438">
        <f>(J77-J65)/J65</f>
        <v>-0.0036847503580098987</v>
      </c>
    </row>
    <row r="78" spans="2:10" s="287" customFormat="1" ht="18" customHeight="1">
      <c r="B78" s="435">
        <v>38899</v>
      </c>
      <c r="C78" s="296">
        <f>HTHW!G93</f>
        <v>34689.180126562416</v>
      </c>
      <c r="D78" s="296">
        <f>Electric!H91</f>
        <v>54827.4</v>
      </c>
      <c r="E78" s="285">
        <f>'Nat Gas Usage'!G78</f>
        <v>4237.211650485437</v>
      </c>
      <c r="F78" s="296">
        <f>'Water Usage'!G79</f>
        <v>5543.31550802139</v>
      </c>
      <c r="G78" s="285">
        <f aca="true" t="shared" si="11" ref="G78:G89">SUM(C78:F78)</f>
        <v>99297.10728506924</v>
      </c>
      <c r="H78" s="314">
        <f t="shared" si="10"/>
        <v>59578.26437104154</v>
      </c>
      <c r="I78" s="354"/>
      <c r="J78" s="508"/>
    </row>
    <row r="79" spans="2:10" s="287" customFormat="1" ht="18" customHeight="1">
      <c r="B79" s="313">
        <v>38930</v>
      </c>
      <c r="C79" s="290">
        <f>HTHW!G94</f>
        <v>31834.45794374999</v>
      </c>
      <c r="D79" s="290">
        <f>Electric!H92</f>
        <v>54984.00000000001</v>
      </c>
      <c r="E79" s="289">
        <f>'Nat Gas Usage'!G79</f>
        <v>3326.4466019417473</v>
      </c>
      <c r="F79" s="290">
        <f>'Water Usage'!G80</f>
        <v>4499.197860962568</v>
      </c>
      <c r="G79" s="289">
        <f t="shared" si="11"/>
        <v>94644.1024066543</v>
      </c>
      <c r="H79" s="316">
        <f t="shared" si="10"/>
        <v>56786.46144399258</v>
      </c>
      <c r="I79" s="315"/>
      <c r="J79" s="508"/>
    </row>
    <row r="80" spans="2:10" s="287" customFormat="1" ht="18" customHeight="1" thickBot="1">
      <c r="B80" s="319">
        <v>38961</v>
      </c>
      <c r="C80" s="320">
        <f>HTHW!G95</f>
        <v>44325.75984375</v>
      </c>
      <c r="D80" s="320">
        <f>Electric!H93</f>
        <v>51182.100000000006</v>
      </c>
      <c r="E80" s="321">
        <f>'Nat Gas Usage'!G80</f>
        <v>2614.066019417475</v>
      </c>
      <c r="F80" s="320">
        <f>'Water Usage'!G81</f>
        <v>3910.6951871657757</v>
      </c>
      <c r="G80" s="321">
        <f t="shared" si="11"/>
        <v>102032.62105033325</v>
      </c>
      <c r="H80" s="318">
        <f t="shared" si="10"/>
        <v>61219.57263019995</v>
      </c>
      <c r="I80" s="318">
        <f>SUM(H78:H80)</f>
        <v>177584.29844523408</v>
      </c>
      <c r="J80" s="508"/>
    </row>
    <row r="81" spans="2:10" s="287" customFormat="1" ht="18" customHeight="1">
      <c r="B81" s="313">
        <v>38991</v>
      </c>
      <c r="C81" s="296">
        <f>HTHW!G96</f>
        <v>33199.066260937514</v>
      </c>
      <c r="D81" s="296">
        <f>Electric!H94</f>
        <v>32459.700000000004</v>
      </c>
      <c r="E81" s="285">
        <f>'Nat Gas Usage'!G81</f>
        <v>3237.273786407767</v>
      </c>
      <c r="F81" s="296">
        <f>'Water Usage'!G82</f>
        <v>2111.9652406417113</v>
      </c>
      <c r="G81" s="285">
        <f t="shared" si="11"/>
        <v>71008.005287987</v>
      </c>
      <c r="H81" s="314">
        <f t="shared" si="10"/>
        <v>42604.8031727922</v>
      </c>
      <c r="I81" s="315"/>
      <c r="J81" s="508"/>
    </row>
    <row r="82" spans="2:10" s="287" customFormat="1" ht="18" customHeight="1">
      <c r="B82" s="313">
        <v>39022</v>
      </c>
      <c r="C82" s="290">
        <f>HTHW!G97</f>
        <v>41218.56151874992</v>
      </c>
      <c r="D82" s="290">
        <f>Electric!H95</f>
        <v>33442.8</v>
      </c>
      <c r="E82" s="289">
        <f>'Nat Gas Usage'!G82</f>
        <v>4795.293203883495</v>
      </c>
      <c r="F82" s="290">
        <f>'Water Usage'!G83</f>
        <v>1898.3957219251338</v>
      </c>
      <c r="G82" s="289">
        <f t="shared" si="11"/>
        <v>81355.05044455855</v>
      </c>
      <c r="H82" s="316">
        <f t="shared" si="10"/>
        <v>48813.03026673513</v>
      </c>
      <c r="I82" s="315"/>
      <c r="J82" s="508"/>
    </row>
    <row r="83" spans="2:10" s="287" customFormat="1" ht="18" customHeight="1" thickBot="1">
      <c r="B83" s="319">
        <v>39052</v>
      </c>
      <c r="C83" s="320">
        <f>HTHW!G98</f>
        <v>46522.83946406252</v>
      </c>
      <c r="D83" s="320">
        <f>Electric!H96</f>
        <v>28823.100000000002</v>
      </c>
      <c r="E83" s="321">
        <f>'Nat Gas Usage'!G83</f>
        <v>3991.7359223300964</v>
      </c>
      <c r="F83" s="320">
        <f>'Water Usage'!G84</f>
        <v>1224.4652406417113</v>
      </c>
      <c r="G83" s="321">
        <f t="shared" si="11"/>
        <v>80562.14062703434</v>
      </c>
      <c r="H83" s="318">
        <f t="shared" si="10"/>
        <v>48337.2843762206</v>
      </c>
      <c r="I83" s="318">
        <f>SUM(H81:H83)</f>
        <v>139755.11781574792</v>
      </c>
      <c r="J83" s="508"/>
    </row>
    <row r="84" spans="2:10" s="287" customFormat="1" ht="18" customHeight="1">
      <c r="B84" s="313">
        <v>39083</v>
      </c>
      <c r="C84" s="296">
        <f>HTHW!G99</f>
        <v>42537.91621406247</v>
      </c>
      <c r="D84" s="296">
        <f>Electric!H97</f>
        <v>30058.500000000004</v>
      </c>
      <c r="E84" s="285">
        <f>'Nat Gas Usage'!G84</f>
        <v>4228.194174757281</v>
      </c>
      <c r="F84" s="296">
        <f>'Water Usage'!G85</f>
        <v>1205.48128342246</v>
      </c>
      <c r="G84" s="285">
        <f t="shared" si="11"/>
        <v>78030.09167224221</v>
      </c>
      <c r="H84" s="314">
        <f t="shared" si="10"/>
        <v>46818.055003345326</v>
      </c>
      <c r="I84" s="315"/>
      <c r="J84" s="508"/>
    </row>
    <row r="85" spans="2:10" s="287" customFormat="1" ht="18" customHeight="1">
      <c r="B85" s="313">
        <v>39114</v>
      </c>
      <c r="C85" s="290">
        <f>HTHW!G100</f>
        <v>76388.60207343746</v>
      </c>
      <c r="D85" s="290">
        <f>Electric!H98</f>
        <v>30415.200000000004</v>
      </c>
      <c r="E85" s="289">
        <f>'Nat Gas Usage'!G85</f>
        <v>6233.079611650485</v>
      </c>
      <c r="F85" s="290">
        <f>'Water Usage'!G86</f>
        <v>2235.360962566845</v>
      </c>
      <c r="G85" s="289">
        <f t="shared" si="11"/>
        <v>115272.24264765478</v>
      </c>
      <c r="H85" s="316">
        <f t="shared" si="10"/>
        <v>69163.34558859287</v>
      </c>
      <c r="I85" s="315"/>
      <c r="J85" s="508"/>
    </row>
    <row r="86" spans="2:10" s="287" customFormat="1" ht="18" customHeight="1" thickBot="1">
      <c r="B86" s="319">
        <v>39142</v>
      </c>
      <c r="C86" s="320">
        <f>HTHW!G101</f>
        <v>57928.05443906251</v>
      </c>
      <c r="D86" s="320">
        <f>Electric!H99</f>
        <v>27422.4</v>
      </c>
      <c r="E86" s="321">
        <f>'Nat Gas Usage'!G86</f>
        <v>5025.739805825243</v>
      </c>
      <c r="F86" s="320">
        <f>'Water Usage'!G87</f>
        <v>1428.5427807486633</v>
      </c>
      <c r="G86" s="321">
        <f t="shared" si="11"/>
        <v>91804.73702563642</v>
      </c>
      <c r="H86" s="318">
        <f t="shared" si="10"/>
        <v>55082.842215381854</v>
      </c>
      <c r="I86" s="318">
        <f>SUM(H84:H86)</f>
        <v>171064.24280732006</v>
      </c>
      <c r="J86" s="508"/>
    </row>
    <row r="87" spans="2:10" s="287" customFormat="1" ht="18" customHeight="1">
      <c r="B87" s="313">
        <v>39173</v>
      </c>
      <c r="C87" s="296">
        <f>HTHW!G102</f>
        <v>43355.73706406255</v>
      </c>
      <c r="D87" s="296">
        <f>Electric!H100</f>
        <v>31024.200000000004</v>
      </c>
      <c r="E87" s="285">
        <f>'Nat Gas Usage'!G87</f>
        <v>5584.823300970873</v>
      </c>
      <c r="F87" s="296">
        <f>'Water Usage'!G88</f>
        <v>1471.2566844919786</v>
      </c>
      <c r="G87" s="285">
        <f t="shared" si="11"/>
        <v>81436.01704952541</v>
      </c>
      <c r="H87" s="314">
        <f t="shared" si="10"/>
        <v>48861.61022971525</v>
      </c>
      <c r="I87" s="354"/>
      <c r="J87" s="508"/>
    </row>
    <row r="88" spans="2:10" s="287" customFormat="1" ht="18" customHeight="1">
      <c r="B88" s="313">
        <v>39203</v>
      </c>
      <c r="C88" s="290">
        <f>HTHW!G103</f>
        <v>43355.73706406255</v>
      </c>
      <c r="D88" s="290">
        <f>Electric!H101</f>
        <v>31015.500000000004</v>
      </c>
      <c r="E88" s="289">
        <f>'Nat Gas Usage'!G88</f>
        <v>4958.609708737863</v>
      </c>
      <c r="F88" s="290">
        <f>'Water Usage'!G89</f>
        <v>1670.5882352941178</v>
      </c>
      <c r="G88" s="289">
        <f t="shared" si="11"/>
        <v>81000.43500809453</v>
      </c>
      <c r="H88" s="316">
        <f t="shared" si="10"/>
        <v>48600.261004856715</v>
      </c>
      <c r="I88" s="315"/>
      <c r="J88" s="508"/>
    </row>
    <row r="89" spans="2:11" s="287" customFormat="1" ht="18" customHeight="1" thickBot="1">
      <c r="B89" s="319">
        <v>39234</v>
      </c>
      <c r="C89" s="320">
        <f>HTHW!G104</f>
        <v>36663.898424999876</v>
      </c>
      <c r="D89" s="320">
        <f>Electric!H102</f>
        <v>39010.8</v>
      </c>
      <c r="E89" s="321">
        <f>'Nat Gas Usage'!G89</f>
        <v>3766.299029126213</v>
      </c>
      <c r="F89" s="320">
        <f>'Water Usage'!G90</f>
        <v>3236.764705882353</v>
      </c>
      <c r="G89" s="321">
        <f t="shared" si="11"/>
        <v>82677.76216000844</v>
      </c>
      <c r="H89" s="318">
        <f t="shared" si="10"/>
        <v>49606.65729600506</v>
      </c>
      <c r="I89" s="318">
        <f>SUM(H87:H89)</f>
        <v>147068.52853057702</v>
      </c>
      <c r="J89" s="437">
        <f>SUM(I78:I89)</f>
        <v>635472.187598879</v>
      </c>
      <c r="K89" s="438">
        <f>(J89-J77)/J77</f>
        <v>0.3657562189824413</v>
      </c>
    </row>
    <row r="90" spans="2:10" s="287" customFormat="1" ht="18" customHeight="1">
      <c r="B90" s="313">
        <v>39264</v>
      </c>
      <c r="C90" s="296">
        <f>HTHW!G105</f>
        <v>38140.61501250036</v>
      </c>
      <c r="D90" s="296">
        <f>Electric!H103</f>
        <v>50562</v>
      </c>
      <c r="E90" s="285">
        <f>'Nat Gas Usage'!G90</f>
        <v>4928.085436893202</v>
      </c>
      <c r="F90" s="296">
        <f>'Water Usage'!G91</f>
        <v>5401.92513368984</v>
      </c>
      <c r="G90" s="285">
        <f aca="true" t="shared" si="12" ref="G90:G101">SUM(C90:F90)</f>
        <v>99032.62558308341</v>
      </c>
      <c r="H90" s="314">
        <f t="shared" si="10"/>
        <v>59419.57534985004</v>
      </c>
      <c r="I90" s="315"/>
      <c r="J90" s="508"/>
    </row>
    <row r="91" spans="2:10" s="287" customFormat="1" ht="18" customHeight="1">
      <c r="B91" s="313">
        <v>39295</v>
      </c>
      <c r="C91" s="290">
        <f>HTHW!G106</f>
        <v>46426.551264843285</v>
      </c>
      <c r="D91" s="290">
        <f>Electric!H104</f>
        <v>51669</v>
      </c>
      <c r="E91" s="289">
        <f>'Nat Gas Usage'!G91</f>
        <v>3597.4912621359213</v>
      </c>
      <c r="F91" s="290">
        <f>'Water Usage'!G92</f>
        <v>4173.770053475935</v>
      </c>
      <c r="G91" s="289">
        <f t="shared" si="12"/>
        <v>105866.81258045515</v>
      </c>
      <c r="H91" s="316">
        <f t="shared" si="10"/>
        <v>63520.08754827309</v>
      </c>
      <c r="I91" s="498"/>
      <c r="J91" s="508"/>
    </row>
    <row r="92" spans="2:10" s="287" customFormat="1" ht="18" customHeight="1" thickBot="1">
      <c r="B92" s="319">
        <v>39326</v>
      </c>
      <c r="C92" s="320">
        <f>HTHW!G107</f>
        <v>46426.551264843816</v>
      </c>
      <c r="D92" s="320">
        <f>Electric!H105</f>
        <v>53379</v>
      </c>
      <c r="E92" s="321">
        <f>'Nat Gas Usage'!G92</f>
        <v>4534.9048543689305</v>
      </c>
      <c r="F92" s="320">
        <f>'Water Usage'!G93</f>
        <v>4604.358288770053</v>
      </c>
      <c r="G92" s="321">
        <f t="shared" si="12"/>
        <v>108944.81440798279</v>
      </c>
      <c r="H92" s="318">
        <f t="shared" si="10"/>
        <v>65366.88864478967</v>
      </c>
      <c r="I92" s="318">
        <f>SUM(H90:H92)</f>
        <v>188306.5515429128</v>
      </c>
      <c r="J92" s="437"/>
    </row>
    <row r="93" spans="2:10" s="287" customFormat="1" ht="18" customHeight="1">
      <c r="B93" s="313">
        <v>39356</v>
      </c>
      <c r="C93" s="296">
        <f>HTHW!G108</f>
        <v>67346.66688750037</v>
      </c>
      <c r="D93" s="296">
        <f>Electric!H106</f>
        <v>36171</v>
      </c>
      <c r="E93" s="285">
        <f>'Nat Gas Usage'!G93</f>
        <v>4408.287378640775</v>
      </c>
      <c r="F93" s="296">
        <f>'Water Usage'!G94</f>
        <v>2901.577540106952</v>
      </c>
      <c r="G93" s="285">
        <f t="shared" si="12"/>
        <v>110827.5318062481</v>
      </c>
      <c r="H93" s="314">
        <f t="shared" si="10"/>
        <v>66496.51908374885</v>
      </c>
      <c r="I93" s="315"/>
      <c r="J93" s="508"/>
    </row>
    <row r="94" spans="2:10" s="287" customFormat="1" ht="18" customHeight="1">
      <c r="B94" s="313">
        <v>39387</v>
      </c>
      <c r="C94" s="290">
        <f>HTHW!G109</f>
        <v>57104.60224218729</v>
      </c>
      <c r="D94" s="290">
        <f>Electric!H107</f>
        <v>32679</v>
      </c>
      <c r="E94" s="289">
        <f>'Nat Gas Usage'!G94</f>
        <v>5345.700970873785</v>
      </c>
      <c r="F94" s="290">
        <f>'Water Usage'!G95</f>
        <v>2974.9732620320856</v>
      </c>
      <c r="G94" s="289">
        <f t="shared" si="12"/>
        <v>98104.27647509317</v>
      </c>
      <c r="H94" s="316">
        <f t="shared" si="10"/>
        <v>58862.5658850559</v>
      </c>
      <c r="I94" s="315"/>
      <c r="J94" s="508"/>
    </row>
    <row r="95" spans="2:10" s="287" customFormat="1" ht="18" customHeight="1" thickBot="1">
      <c r="B95" s="319">
        <v>39417</v>
      </c>
      <c r="C95" s="320">
        <f>HTHW!G110</f>
        <v>77669.79845624974</v>
      </c>
      <c r="D95" s="320">
        <f>Electric!H108</f>
        <v>25938</v>
      </c>
      <c r="E95" s="321">
        <f>'Nat Gas Usage'!G95</f>
        <v>6065.421359223299</v>
      </c>
      <c r="F95" s="320">
        <f>'Water Usage'!G96</f>
        <v>1639.1711229946523</v>
      </c>
      <c r="G95" s="321">
        <f t="shared" si="12"/>
        <v>111312.3909384677</v>
      </c>
      <c r="H95" s="318">
        <f t="shared" si="10"/>
        <v>66787.43456308062</v>
      </c>
      <c r="I95" s="318">
        <f>SUM(H93:H95)</f>
        <v>192146.51953188537</v>
      </c>
      <c r="J95" s="508"/>
    </row>
    <row r="96" spans="2:10" s="287" customFormat="1" ht="18" customHeight="1">
      <c r="B96" s="313">
        <v>39448</v>
      </c>
      <c r="C96" s="296">
        <f>HTHW!G111</f>
        <v>83098.90338750015</v>
      </c>
      <c r="D96" s="296">
        <f>Electric!H109</f>
        <v>27414</v>
      </c>
      <c r="E96" s="285">
        <f>'Nat Gas Usage'!G96</f>
        <v>5680.015533980581</v>
      </c>
      <c r="F96" s="296">
        <f>'Water Usage'!G97</f>
        <v>1296.657754010695</v>
      </c>
      <c r="G96" s="285">
        <f t="shared" si="12"/>
        <v>117489.57667549142</v>
      </c>
      <c r="H96" s="314">
        <f t="shared" si="10"/>
        <v>70493.74600529484</v>
      </c>
      <c r="I96" s="315"/>
      <c r="J96" s="508"/>
    </row>
    <row r="97" spans="2:10" s="287" customFormat="1" ht="18" customHeight="1">
      <c r="B97" s="313">
        <v>39479</v>
      </c>
      <c r="C97" s="290">
        <f>HTHW!G112</f>
        <v>84881.82671718752</v>
      </c>
      <c r="D97" s="290">
        <f>Electric!H110</f>
        <v>28026</v>
      </c>
      <c r="E97" s="289">
        <f>'Nat Gas Usage'!G97</f>
        <v>7043.930097087377</v>
      </c>
      <c r="F97" s="290">
        <f>'Water Usage'!G98</f>
        <v>2035.508021390374</v>
      </c>
      <c r="G97" s="289">
        <f t="shared" si="12"/>
        <v>121987.26483566526</v>
      </c>
      <c r="H97" s="316">
        <f t="shared" si="10"/>
        <v>73192.35890139916</v>
      </c>
      <c r="I97" s="315"/>
      <c r="J97" s="508"/>
    </row>
    <row r="98" spans="2:10" s="287" customFormat="1" ht="18" customHeight="1" thickBot="1">
      <c r="B98" s="319">
        <v>39508</v>
      </c>
      <c r="C98" s="320">
        <f>HTHW!G113</f>
        <v>77624.59861406276</v>
      </c>
      <c r="D98" s="320">
        <f>Electric!H111</f>
        <v>31905</v>
      </c>
      <c r="E98" s="321">
        <f>'Nat Gas Usage'!G98</f>
        <v>7026.159223300969</v>
      </c>
      <c r="F98" s="320">
        <f>'Water Usage'!G99</f>
        <v>1834.8930481283421</v>
      </c>
      <c r="G98" s="321">
        <f t="shared" si="12"/>
        <v>118390.65088549208</v>
      </c>
      <c r="H98" s="318">
        <f t="shared" si="10"/>
        <v>71034.39053129524</v>
      </c>
      <c r="I98" s="318">
        <f>SUM(H96:H98)</f>
        <v>214720.49543798924</v>
      </c>
      <c r="J98" s="508"/>
    </row>
    <row r="99" spans="2:10" s="287" customFormat="1" ht="18" customHeight="1">
      <c r="B99" s="313">
        <v>39539</v>
      </c>
      <c r="C99" s="296">
        <f>HTHW!G114</f>
        <v>47235.482043749835</v>
      </c>
      <c r="D99" s="296">
        <f>Electric!H112</f>
        <v>26244</v>
      </c>
      <c r="E99" s="285">
        <f>'Nat Gas Usage'!G99</f>
        <v>5233.522330097086</v>
      </c>
      <c r="F99" s="296">
        <f>'Water Usage'!G100</f>
        <v>1404.3048128342245</v>
      </c>
      <c r="G99" s="285">
        <f t="shared" si="12"/>
        <v>80117.30918668113</v>
      </c>
      <c r="H99" s="314">
        <f t="shared" si="10"/>
        <v>48070.385512008674</v>
      </c>
      <c r="I99" s="354"/>
      <c r="J99" s="508"/>
    </row>
    <row r="100" spans="2:10" s="287" customFormat="1" ht="18" customHeight="1">
      <c r="B100" s="313">
        <v>39569</v>
      </c>
      <c r="C100" s="290">
        <f>HTHW!G115</f>
        <v>41128.928465625155</v>
      </c>
      <c r="D100" s="290">
        <f>Electric!H113</f>
        <v>29601</v>
      </c>
      <c r="E100" s="289">
        <f>'Nat Gas Usage'!G100</f>
        <v>5004.722330097086</v>
      </c>
      <c r="F100" s="290">
        <f>'Water Usage'!G101</f>
        <v>2133.3689839572194</v>
      </c>
      <c r="G100" s="289">
        <f t="shared" si="12"/>
        <v>77868.01977967945</v>
      </c>
      <c r="H100" s="316">
        <f t="shared" si="10"/>
        <v>46720.81186780767</v>
      </c>
      <c r="I100" s="498"/>
      <c r="J100" s="508"/>
    </row>
    <row r="101" spans="2:11" s="287" customFormat="1" ht="18" customHeight="1" thickBot="1">
      <c r="B101" s="319">
        <v>39600</v>
      </c>
      <c r="C101" s="320">
        <f>HTHW!G116</f>
        <v>40794.962020312116</v>
      </c>
      <c r="D101" s="320">
        <f>Electric!H114</f>
        <v>39654</v>
      </c>
      <c r="E101" s="321">
        <f>'Nat Gas Usage'!G101</f>
        <v>4560.450485436892</v>
      </c>
      <c r="F101" s="320">
        <f>'Water Usage'!G102</f>
        <v>3606.176470588235</v>
      </c>
      <c r="G101" s="321">
        <f t="shared" si="12"/>
        <v>88615.58897633724</v>
      </c>
      <c r="H101" s="318">
        <f t="shared" si="10"/>
        <v>53169.353385802344</v>
      </c>
      <c r="I101" s="318">
        <f>SUM(H99:H101)</f>
        <v>147960.55076561868</v>
      </c>
      <c r="J101" s="437">
        <f>SUM(I90:I101)</f>
        <v>743134.1172784062</v>
      </c>
      <c r="K101" s="438">
        <f>(J101-J89)/J89</f>
        <v>0.16942036454235074</v>
      </c>
    </row>
    <row r="102" spans="1:11" s="287" customFormat="1" ht="18" customHeight="1">
      <c r="A102" s="564"/>
      <c r="B102" s="565">
        <v>39630</v>
      </c>
      <c r="C102" s="566">
        <f>HTHW!G117</f>
        <v>32828.05758000041</v>
      </c>
      <c r="D102" s="566">
        <f>Electric!H115</f>
        <v>37616.74999999999</v>
      </c>
      <c r="E102" s="567">
        <f>'Nat Gas Usage'!G102</f>
        <v>4840.718000000001</v>
      </c>
      <c r="F102" s="566">
        <f>'Water Usage'!G103</f>
        <v>3747.0855614973266</v>
      </c>
      <c r="G102" s="567">
        <f aca="true" t="shared" si="13" ref="G102:G113">SUM(C102:F102)</f>
        <v>79032.61114149772</v>
      </c>
      <c r="H102" s="568">
        <f t="shared" si="10"/>
        <v>47419.56668489863</v>
      </c>
      <c r="I102" s="569"/>
      <c r="J102" s="570"/>
      <c r="K102" s="536"/>
    </row>
    <row r="103" spans="1:11" s="287" customFormat="1" ht="18" customHeight="1">
      <c r="A103" s="564"/>
      <c r="B103" s="565">
        <v>39661</v>
      </c>
      <c r="C103" s="571">
        <f>HTHW!G118</f>
        <v>35133.307359999795</v>
      </c>
      <c r="D103" s="571">
        <f>Electric!H116</f>
        <v>42843.85</v>
      </c>
      <c r="E103" s="572">
        <f>'Nat Gas Usage'!G103</f>
        <v>3709.992</v>
      </c>
      <c r="F103" s="571">
        <f>'Water Usage'!G104</f>
        <v>5164.18449197861</v>
      </c>
      <c r="G103" s="572">
        <f t="shared" si="13"/>
        <v>86851.3338519784</v>
      </c>
      <c r="H103" s="573">
        <f t="shared" si="10"/>
        <v>52110.80031118704</v>
      </c>
      <c r="I103" s="574"/>
      <c r="J103" s="575"/>
      <c r="K103" s="537"/>
    </row>
    <row r="104" spans="1:11" s="287" customFormat="1" ht="18" customHeight="1" thickBot="1">
      <c r="A104" s="564"/>
      <c r="B104" s="576">
        <v>39692</v>
      </c>
      <c r="C104" s="577">
        <f>HTHW!G119</f>
        <v>32404.4470599998</v>
      </c>
      <c r="D104" s="577">
        <f>Electric!H117</f>
        <v>37583.35</v>
      </c>
      <c r="E104" s="578">
        <f>'Nat Gas Usage'!G104</f>
        <v>3475.415</v>
      </c>
      <c r="F104" s="577">
        <f>'Water Usage'!G105</f>
        <v>8274.371657754013</v>
      </c>
      <c r="G104" s="578">
        <f t="shared" si="13"/>
        <v>81737.5837177538</v>
      </c>
      <c r="H104" s="579">
        <f t="shared" si="10"/>
        <v>49042.55023065228</v>
      </c>
      <c r="I104" s="579">
        <f>SUM(H102:H104)</f>
        <v>148572.91722673795</v>
      </c>
      <c r="J104" s="580"/>
      <c r="K104" s="437"/>
    </row>
    <row r="105" spans="1:11" s="284" customFormat="1" ht="18" customHeight="1">
      <c r="A105" s="564"/>
      <c r="B105" s="565">
        <v>39722</v>
      </c>
      <c r="C105" s="566">
        <f>HTHW!G120</f>
        <v>29909.01197600029</v>
      </c>
      <c r="D105" s="566">
        <f>Electric!H118</f>
        <v>30694.599999999995</v>
      </c>
      <c r="E105" s="567">
        <f>'Nat Gas Usage'!G105</f>
        <v>5342.302</v>
      </c>
      <c r="F105" s="566">
        <f>'Water Usage'!G106</f>
        <v>3152.6470588235297</v>
      </c>
      <c r="G105" s="567">
        <f t="shared" si="13"/>
        <v>69098.56103482381</v>
      </c>
      <c r="H105" s="568">
        <f t="shared" si="10"/>
        <v>41459.136620894285</v>
      </c>
      <c r="I105" s="581"/>
      <c r="J105" s="570"/>
      <c r="K105" s="536"/>
    </row>
    <row r="106" spans="1:11" s="284" customFormat="1" ht="18" customHeight="1">
      <c r="A106" s="564"/>
      <c r="B106" s="565">
        <v>39753</v>
      </c>
      <c r="C106" s="571">
        <f>HTHW!G121</f>
        <v>43332.01652799984</v>
      </c>
      <c r="D106" s="571">
        <f>Electric!H119</f>
        <v>29241.699999999997</v>
      </c>
      <c r="E106" s="572">
        <f>'Nat Gas Usage'!G106</f>
        <v>6745.4400000000005</v>
      </c>
      <c r="F106" s="571">
        <f>'Water Usage'!G107</f>
        <v>2494.5187165775405</v>
      </c>
      <c r="G106" s="572">
        <f t="shared" si="13"/>
        <v>81813.67524457739</v>
      </c>
      <c r="H106" s="573">
        <f t="shared" si="10"/>
        <v>49088.20514674643</v>
      </c>
      <c r="I106" s="581"/>
      <c r="J106" s="570"/>
      <c r="K106" s="536"/>
    </row>
    <row r="107" spans="1:11" s="284" customFormat="1" ht="18" customHeight="1" thickBot="1">
      <c r="A107" s="564"/>
      <c r="B107" s="576">
        <v>39783</v>
      </c>
      <c r="C107" s="577">
        <f>HTHW!G122</f>
        <v>48923.14807600029</v>
      </c>
      <c r="D107" s="577">
        <f>Electric!H120</f>
        <v>21175.6</v>
      </c>
      <c r="E107" s="578">
        <f>'Nat Gas Usage'!G107</f>
        <v>5981.173</v>
      </c>
      <c r="F107" s="577">
        <f>'Water Usage'!G108</f>
        <v>1480.7887700534761</v>
      </c>
      <c r="G107" s="578">
        <f t="shared" si="13"/>
        <v>77560.70984605375</v>
      </c>
      <c r="H107" s="579">
        <f t="shared" si="10"/>
        <v>46536.42590763225</v>
      </c>
      <c r="I107" s="579">
        <f>SUM(H105:H107)</f>
        <v>137083.76767527297</v>
      </c>
      <c r="J107" s="580"/>
      <c r="K107" s="437"/>
    </row>
    <row r="108" spans="1:11" s="284" customFormat="1" ht="18" customHeight="1">
      <c r="A108" s="564"/>
      <c r="B108" s="565">
        <v>39814</v>
      </c>
      <c r="C108" s="566">
        <f>HTHW!G123</f>
        <v>54864.76899199976</v>
      </c>
      <c r="D108" s="566">
        <f>Electric!H121</f>
        <v>25926.749999999996</v>
      </c>
      <c r="E108" s="567">
        <f>'Nat Gas Usage'!G108</f>
        <v>7122.709</v>
      </c>
      <c r="F108" s="566">
        <f>'Water Usage'!G109</f>
        <v>1640.0133689839572</v>
      </c>
      <c r="G108" s="567">
        <f t="shared" si="13"/>
        <v>89554.24136098371</v>
      </c>
      <c r="H108" s="568">
        <f t="shared" si="10"/>
        <v>53732.54481659023</v>
      </c>
      <c r="I108" s="581"/>
      <c r="J108" s="570"/>
      <c r="K108" s="536"/>
    </row>
    <row r="109" spans="1:11" s="284" customFormat="1" ht="18" customHeight="1">
      <c r="A109" s="564"/>
      <c r="B109" s="565">
        <v>39845</v>
      </c>
      <c r="C109" s="571">
        <f>HTHW!G124</f>
        <v>66509.83976399992</v>
      </c>
      <c r="D109" s="571">
        <f>Electric!H122</f>
        <v>28916.049999999996</v>
      </c>
      <c r="E109" s="572">
        <f>'Nat Gas Usage'!G109</f>
        <v>7090.279</v>
      </c>
      <c r="F109" s="571">
        <f>'Water Usage'!G110</f>
        <v>2499.8262032085563</v>
      </c>
      <c r="G109" s="572">
        <f t="shared" si="13"/>
        <v>105015.99496720846</v>
      </c>
      <c r="H109" s="573">
        <f t="shared" si="10"/>
        <v>63009.59698032508</v>
      </c>
      <c r="I109" s="581"/>
      <c r="J109" s="570"/>
      <c r="K109" s="536"/>
    </row>
    <row r="110" spans="1:11" s="284" customFormat="1" ht="18" customHeight="1" thickBot="1">
      <c r="A110" s="564"/>
      <c r="B110" s="576">
        <v>39873</v>
      </c>
      <c r="C110" s="577">
        <f>HTHW!G125</f>
        <v>47470.04095200006</v>
      </c>
      <c r="D110" s="577">
        <f>Electric!H123</f>
        <v>22428.1</v>
      </c>
      <c r="E110" s="578">
        <f>'Nat Gas Usage'!G110</f>
        <v>6675.175</v>
      </c>
      <c r="F110" s="577">
        <f>'Water Usage'!G111</f>
        <v>1905.3877005347595</v>
      </c>
      <c r="G110" s="578">
        <f t="shared" si="13"/>
        <v>78478.70365253482</v>
      </c>
      <c r="H110" s="579">
        <f t="shared" si="10"/>
        <v>47087.222191520894</v>
      </c>
      <c r="I110" s="579">
        <f>SUM(H108:H110)</f>
        <v>163829.36398843618</v>
      </c>
      <c r="J110" s="580"/>
      <c r="K110" s="437"/>
    </row>
    <row r="111" spans="1:11" s="284" customFormat="1" ht="18" customHeight="1">
      <c r="A111" s="564"/>
      <c r="B111" s="565">
        <v>39904</v>
      </c>
      <c r="C111" s="566">
        <f>HTHW!G126</f>
        <v>43287.37044000021</v>
      </c>
      <c r="D111" s="566">
        <f>Electric!H124</f>
        <v>26352.6</v>
      </c>
      <c r="E111" s="567">
        <f>'Nat Gas Usage'!G111</f>
        <v>8663.134</v>
      </c>
      <c r="F111" s="566">
        <f>'Water Usage'!G112</f>
        <v>2276.911764705883</v>
      </c>
      <c r="G111" s="567">
        <f t="shared" si="13"/>
        <v>80580.0162047061</v>
      </c>
      <c r="H111" s="568">
        <f t="shared" si="10"/>
        <v>48348.00972282366</v>
      </c>
      <c r="I111" s="569"/>
      <c r="J111" s="582"/>
      <c r="K111" s="508"/>
    </row>
    <row r="112" spans="1:11" s="284" customFormat="1" ht="18" customHeight="1">
      <c r="A112" s="564"/>
      <c r="B112" s="565">
        <v>39934</v>
      </c>
      <c r="C112" s="571">
        <f>HTHW!G127</f>
        <v>23846.1083799999</v>
      </c>
      <c r="D112" s="571">
        <f>Electric!H125</f>
        <v>22695.3</v>
      </c>
      <c r="E112" s="572">
        <f>'Nat Gas Usage'!G112</f>
        <v>6386.548</v>
      </c>
      <c r="F112" s="571">
        <f>'Water Usage'!G113</f>
        <v>1825.7754010695187</v>
      </c>
      <c r="G112" s="572">
        <f t="shared" si="13"/>
        <v>54753.73178106942</v>
      </c>
      <c r="H112" s="573">
        <f t="shared" si="10"/>
        <v>32852.239068641655</v>
      </c>
      <c r="I112" s="581"/>
      <c r="J112" s="582"/>
      <c r="K112" s="287"/>
    </row>
    <row r="113" spans="1:11" s="284" customFormat="1" ht="18" customHeight="1" thickBot="1">
      <c r="A113" s="564"/>
      <c r="B113" s="576">
        <v>39965</v>
      </c>
      <c r="C113" s="577">
        <f>HTHW!G128</f>
        <v>27985.5389799999</v>
      </c>
      <c r="D113" s="577">
        <f>Electric!H126</f>
        <v>36172.2</v>
      </c>
      <c r="E113" s="578">
        <f>'Nat Gas Usage'!G113</f>
        <v>5439.592000000001</v>
      </c>
      <c r="F113" s="577">
        <f>'Water Usage'!G114</f>
        <v>3481.7112299465243</v>
      </c>
      <c r="G113" s="578">
        <f t="shared" si="13"/>
        <v>73079.04220994642</v>
      </c>
      <c r="H113" s="579">
        <f t="shared" si="10"/>
        <v>43847.42532596785</v>
      </c>
      <c r="I113" s="579">
        <f>SUM(H111:H113)</f>
        <v>125047.67411743317</v>
      </c>
      <c r="J113" s="580">
        <f>SUM(I102:I113)</f>
        <v>574533.7230078803</v>
      </c>
      <c r="K113" s="438">
        <f>(J113-J101)/J101</f>
        <v>-0.22687747790128954</v>
      </c>
    </row>
    <row r="114" spans="2:11" s="287" customFormat="1" ht="18" customHeight="1">
      <c r="B114" s="300">
        <v>39995</v>
      </c>
      <c r="C114" s="662">
        <f>HTHW!G129</f>
        <v>14705.53615781252</v>
      </c>
      <c r="D114" s="662">
        <f>Electric!H127</f>
        <v>41080.49999999999</v>
      </c>
      <c r="E114" s="663">
        <f>'Nat Gas Usage'!G114</f>
        <v>3662.2599999999998</v>
      </c>
      <c r="F114" s="662">
        <f>'Water Usage'!G115</f>
        <v>3885.0802139037437</v>
      </c>
      <c r="G114" s="663">
        <f aca="true" t="shared" si="14" ref="G114:G125">SUM(C114:F114)</f>
        <v>63333.37637171626</v>
      </c>
      <c r="H114" s="434">
        <f aca="true" t="shared" si="15" ref="H114:H125">G114*0.6</f>
        <v>38000.025823029755</v>
      </c>
      <c r="I114" s="535"/>
      <c r="J114" s="536"/>
      <c r="K114" s="536"/>
    </row>
    <row r="115" spans="2:11" s="287" customFormat="1" ht="18" customHeight="1">
      <c r="B115" s="300">
        <v>40026</v>
      </c>
      <c r="C115" s="664">
        <f>HTHW!G130</f>
        <v>10056.92428125029</v>
      </c>
      <c r="D115" s="664">
        <f>Electric!H128</f>
        <v>39618.5</v>
      </c>
      <c r="E115" s="665">
        <f>'Nat Gas Usage'!G115</f>
        <v>3671.5839999999994</v>
      </c>
      <c r="F115" s="664">
        <f>'Water Usage'!G116</f>
        <v>5408.328877005349</v>
      </c>
      <c r="G115" s="665">
        <f t="shared" si="14"/>
        <v>58755.33715825564</v>
      </c>
      <c r="H115" s="463">
        <f t="shared" si="15"/>
        <v>35253.202294953386</v>
      </c>
      <c r="I115" s="462"/>
      <c r="J115" s="537"/>
      <c r="K115" s="537"/>
    </row>
    <row r="116" spans="2:11" s="287" customFormat="1" ht="18" customHeight="1" thickBot="1">
      <c r="B116" s="467">
        <v>40057</v>
      </c>
      <c r="C116" s="666">
        <f>HTHW!G131</f>
        <v>11440.461604687442</v>
      </c>
      <c r="D116" s="666">
        <f>Electric!H129</f>
        <v>32784.5</v>
      </c>
      <c r="E116" s="667">
        <f>'Nat Gas Usage'!G116</f>
        <v>3434.3399999999997</v>
      </c>
      <c r="F116" s="666">
        <f>'Water Usage'!G117</f>
        <v>3720.548128342246</v>
      </c>
      <c r="G116" s="667">
        <f t="shared" si="14"/>
        <v>51379.84973302969</v>
      </c>
      <c r="H116" s="484">
        <f t="shared" si="15"/>
        <v>30827.90983981781</v>
      </c>
      <c r="I116" s="484">
        <f>SUM(H114:H116)</f>
        <v>104081.13795780097</v>
      </c>
      <c r="J116" s="437"/>
      <c r="K116" s="437"/>
    </row>
    <row r="117" spans="1:11" s="284" customFormat="1" ht="18" customHeight="1">
      <c r="A117" s="287"/>
      <c r="B117" s="300">
        <v>40087</v>
      </c>
      <c r="C117" s="662">
        <f>HTHW!G132</f>
        <v>16362.304973437265</v>
      </c>
      <c r="D117" s="662">
        <f>Electric!H130</f>
        <v>27871.499999999996</v>
      </c>
      <c r="E117" s="663">
        <f>'Nat Gas Usage'!G117</f>
        <v>4382.28</v>
      </c>
      <c r="F117" s="662">
        <f>'Water Usage'!G118</f>
        <v>2414.9064171122996</v>
      </c>
      <c r="G117" s="663">
        <f t="shared" si="14"/>
        <v>51030.99139054956</v>
      </c>
      <c r="H117" s="434">
        <f t="shared" si="15"/>
        <v>30618.594834329735</v>
      </c>
      <c r="I117" s="671"/>
      <c r="J117" s="536"/>
      <c r="K117" s="536"/>
    </row>
    <row r="118" spans="1:11" s="284" customFormat="1" ht="18" customHeight="1">
      <c r="A118" s="287"/>
      <c r="B118" s="300">
        <v>40118</v>
      </c>
      <c r="C118" s="664">
        <f>HTHW!G133</f>
        <v>25699.468987499942</v>
      </c>
      <c r="D118" s="664">
        <f>Electric!H131</f>
        <v>24258.999999999996</v>
      </c>
      <c r="E118" s="665">
        <f>'Nat Gas Usage'!G118</f>
        <v>5171.7119999999995</v>
      </c>
      <c r="F118" s="664">
        <f>'Water Usage'!G119</f>
        <v>2016.8449197860964</v>
      </c>
      <c r="G118" s="665">
        <f t="shared" si="14"/>
        <v>57147.025907286035</v>
      </c>
      <c r="H118" s="463">
        <f t="shared" si="15"/>
        <v>34288.21554437162</v>
      </c>
      <c r="I118" s="671"/>
      <c r="J118" s="536"/>
      <c r="K118" s="536"/>
    </row>
    <row r="119" spans="1:11" s="284" customFormat="1" ht="18" customHeight="1" thickBot="1">
      <c r="A119" s="287"/>
      <c r="B119" s="467">
        <v>40148</v>
      </c>
      <c r="C119" s="666">
        <f>HTHW!G134</f>
        <v>38929.05374531283</v>
      </c>
      <c r="D119" s="666">
        <f>Electric!H132</f>
        <v>23102.999999999996</v>
      </c>
      <c r="E119" s="667">
        <f>'Nat Gas Usage'!G119</f>
        <v>5916.596</v>
      </c>
      <c r="F119" s="666">
        <f>'Water Usage'!G120</f>
        <v>1438.3288770053475</v>
      </c>
      <c r="G119" s="667">
        <f t="shared" si="14"/>
        <v>69386.97862231817</v>
      </c>
      <c r="H119" s="484">
        <f t="shared" si="15"/>
        <v>41632.1871733909</v>
      </c>
      <c r="I119" s="484">
        <f>SUM(H117:H119)</f>
        <v>106538.99755209225</v>
      </c>
      <c r="J119" s="437"/>
      <c r="K119" s="437"/>
    </row>
    <row r="120" spans="1:11" s="284" customFormat="1" ht="18" customHeight="1">
      <c r="A120" s="287"/>
      <c r="B120" s="300">
        <v>40179</v>
      </c>
      <c r="C120" s="662">
        <f>HTHW!G135</f>
        <v>45906.90142499965</v>
      </c>
      <c r="D120" s="662">
        <f>Electric!H133</f>
        <v>21207.499999999996</v>
      </c>
      <c r="E120" s="663">
        <f>'Nat Gas Usage'!G120</f>
        <v>6435.6320000000005</v>
      </c>
      <c r="F120" s="662">
        <f>'Water Usage'!G121</f>
        <v>1411.7914438502676</v>
      </c>
      <c r="G120" s="663">
        <f t="shared" si="14"/>
        <v>74961.8248688499</v>
      </c>
      <c r="H120" s="434">
        <f t="shared" si="15"/>
        <v>44977.09492130994</v>
      </c>
      <c r="I120" s="671"/>
      <c r="J120" s="536"/>
      <c r="K120" s="536"/>
    </row>
    <row r="121" spans="1:11" s="284" customFormat="1" ht="18" customHeight="1">
      <c r="A121" s="287"/>
      <c r="B121" s="300">
        <v>40210</v>
      </c>
      <c r="C121" s="664">
        <f>HTHW!G136</f>
        <v>49816.702031249995</v>
      </c>
      <c r="D121" s="664">
        <f>Electric!H134</f>
        <v>23816.999999999996</v>
      </c>
      <c r="E121" s="665">
        <f>'Nat Gas Usage'!G121</f>
        <v>5976.683999999999</v>
      </c>
      <c r="F121" s="664">
        <f>'Water Usage'!G122</f>
        <v>1873.5427807486633</v>
      </c>
      <c r="G121" s="665">
        <f t="shared" si="14"/>
        <v>81483.92881199866</v>
      </c>
      <c r="H121" s="463">
        <f t="shared" si="15"/>
        <v>48890.35728719919</v>
      </c>
      <c r="I121" s="671"/>
      <c r="J121" s="536"/>
      <c r="K121" s="536"/>
    </row>
    <row r="122" spans="1:11" s="284" customFormat="1" ht="18" customHeight="1" thickBot="1">
      <c r="A122" s="287"/>
      <c r="B122" s="467">
        <v>40238</v>
      </c>
      <c r="C122" s="666">
        <f>HTHW!G137</f>
        <v>35973.14020781275</v>
      </c>
      <c r="D122" s="666">
        <f>Electric!H135</f>
        <v>20892.999999999996</v>
      </c>
      <c r="E122" s="667">
        <f>'Nat Gas Usage'!G122</f>
        <v>5042.2119999999995</v>
      </c>
      <c r="F122" s="666">
        <f>'Water Usage'!G123</f>
        <v>1709.010695187166</v>
      </c>
      <c r="G122" s="667">
        <f t="shared" si="14"/>
        <v>63617.36290299991</v>
      </c>
      <c r="H122" s="484">
        <f t="shared" si="15"/>
        <v>38170.417741799945</v>
      </c>
      <c r="I122" s="484">
        <f>SUM(H120:H122)</f>
        <v>132037.86995030908</v>
      </c>
      <c r="J122" s="437"/>
      <c r="K122" s="437"/>
    </row>
    <row r="123" spans="1:11" s="284" customFormat="1" ht="18" customHeight="1">
      <c r="A123" s="287"/>
      <c r="B123" s="300">
        <v>40269</v>
      </c>
      <c r="C123" s="662">
        <f>HTHW!G138</f>
        <v>26213.177615624787</v>
      </c>
      <c r="D123" s="662">
        <f>Electric!H136</f>
        <v>25484.699999999997</v>
      </c>
      <c r="E123" s="663">
        <f>'Nat Gas Usage'!G123</f>
        <v>5620.299999999999</v>
      </c>
      <c r="F123" s="662">
        <f>'Water Usage'!G124</f>
        <v>1517.9411764705883</v>
      </c>
      <c r="G123" s="663">
        <f t="shared" si="14"/>
        <v>58836.11879209537</v>
      </c>
      <c r="H123" s="434">
        <f t="shared" si="15"/>
        <v>35301.67127525722</v>
      </c>
      <c r="I123" s="535"/>
      <c r="J123" s="508"/>
      <c r="K123" s="508"/>
    </row>
    <row r="124" spans="1:11" s="284" customFormat="1" ht="18" customHeight="1">
      <c r="A124" s="287"/>
      <c r="B124" s="300">
        <v>40299</v>
      </c>
      <c r="C124" s="664">
        <f>HTHW!G139</f>
        <v>20101.14789374994</v>
      </c>
      <c r="D124" s="664">
        <f>Electric!H137</f>
        <v>21947.85</v>
      </c>
      <c r="E124" s="665">
        <f>'Nat Gas Usage'!G124</f>
        <v>8302.503999999999</v>
      </c>
      <c r="F124" s="664">
        <f>'Water Usage'!G125</f>
        <v>1257.8743315508023</v>
      </c>
      <c r="G124" s="665">
        <f t="shared" si="14"/>
        <v>51609.376225300744</v>
      </c>
      <c r="H124" s="463">
        <f t="shared" si="15"/>
        <v>30965.625735180445</v>
      </c>
      <c r="I124" s="671"/>
      <c r="J124" s="508"/>
      <c r="K124" s="287"/>
    </row>
    <row r="125" spans="1:11" s="284" customFormat="1" ht="18" customHeight="1" thickBot="1">
      <c r="A125" s="287"/>
      <c r="B125" s="467">
        <v>40330</v>
      </c>
      <c r="C125" s="666">
        <f>HTHW!G140</f>
        <v>15356.946773437694</v>
      </c>
      <c r="D125" s="666">
        <f>Electric!H138</f>
        <v>34980.899999999994</v>
      </c>
      <c r="E125" s="667">
        <f>'Nat Gas Usage'!G125</f>
        <v>6120.687999999999</v>
      </c>
      <c r="F125" s="666">
        <f>'Water Usage'!G126</f>
        <v>3253.4893048128342</v>
      </c>
      <c r="G125" s="667">
        <f t="shared" si="14"/>
        <v>59712.02407825053</v>
      </c>
      <c r="H125" s="484">
        <f t="shared" si="15"/>
        <v>35827.21444695032</v>
      </c>
      <c r="I125" s="484">
        <f>SUM(H123:H125)</f>
        <v>102094.511457388</v>
      </c>
      <c r="J125" s="437">
        <f>SUM(I114:I125)</f>
        <v>444752.5169175903</v>
      </c>
      <c r="K125" s="438">
        <f>(J125-J113)/J113</f>
        <v>-0.22588962299870066</v>
      </c>
    </row>
    <row r="126" spans="2:10" s="284" customFormat="1" ht="18" customHeight="1">
      <c r="B126" s="688"/>
      <c r="C126" s="689"/>
      <c r="D126" s="689"/>
      <c r="E126" s="690" t="s">
        <v>112</v>
      </c>
      <c r="F126" s="689"/>
      <c r="G126" s="689"/>
      <c r="H126" s="691" t="s">
        <v>113</v>
      </c>
      <c r="I126" s="437">
        <f>SUM(I114:I125)</f>
        <v>444752.5169175903</v>
      </c>
      <c r="J126" s="437"/>
    </row>
    <row r="127" ht="12.75">
      <c r="C127" s="132"/>
    </row>
    <row r="128" spans="2:9" ht="12.75">
      <c r="B128" s="525" t="s">
        <v>121</v>
      </c>
      <c r="C128" s="526">
        <f>SUM(C90:C101)</f>
        <v>707879.4863765624</v>
      </c>
      <c r="D128" s="526">
        <f>SUM(D90:D101)</f>
        <v>433242</v>
      </c>
      <c r="E128" s="526">
        <f>SUM(E90:E101)</f>
        <v>63428.69126213591</v>
      </c>
      <c r="F128" s="526">
        <f>SUM(F90:F101)</f>
        <v>34006.68449197861</v>
      </c>
      <c r="G128" s="526">
        <f>SUM(G90:G101)</f>
        <v>1238556.8621306769</v>
      </c>
      <c r="H128" s="526"/>
      <c r="I128" s="526">
        <f>SUM(I90:I101)</f>
        <v>743134.1172784062</v>
      </c>
    </row>
    <row r="129" spans="2:9" ht="12.75">
      <c r="B129" s="525" t="s">
        <v>122</v>
      </c>
      <c r="C129" s="526">
        <f>SUM(C102:C113)</f>
        <v>486493.6560880001</v>
      </c>
      <c r="D129" s="526">
        <f>SUM(D102:D113)</f>
        <v>361646.85</v>
      </c>
      <c r="E129" s="526">
        <f>SUM(E102:E113)</f>
        <v>71472.477</v>
      </c>
      <c r="F129" s="526">
        <f>SUM(F102:F113)</f>
        <v>37943.221925133694</v>
      </c>
      <c r="G129" s="526">
        <f>SUM(G102:G113)</f>
        <v>957556.2050131339</v>
      </c>
      <c r="H129" s="526"/>
      <c r="I129" s="526">
        <f>SUM(I102:I113)</f>
        <v>574533.7230078803</v>
      </c>
    </row>
    <row r="130" spans="2:9" ht="12.75">
      <c r="B130" s="525" t="s">
        <v>129</v>
      </c>
      <c r="C130" s="526">
        <f>SUM(C114:C125)</f>
        <v>310561.76569687505</v>
      </c>
      <c r="D130" s="526">
        <f>SUM(D114:D125)</f>
        <v>337047.94999999995</v>
      </c>
      <c r="E130" s="526">
        <f>SUM(E114:E125)</f>
        <v>63736.791999999994</v>
      </c>
      <c r="F130" s="526">
        <f>SUM(F114:F125)</f>
        <v>29907.6871657754</v>
      </c>
      <c r="G130" s="526">
        <f>SUM(G114:G125)</f>
        <v>741254.1948626504</v>
      </c>
      <c r="H130" s="526"/>
      <c r="I130" s="526">
        <f>SUM(I114:I125)</f>
        <v>444752.5169175903</v>
      </c>
    </row>
  </sheetData>
  <sheetProtection/>
  <printOptions horizontalCentered="1" verticalCentered="1"/>
  <pageMargins left="0.75" right="0.75" top="0.5" bottom="0.5" header="0.5" footer="0.5"/>
  <pageSetup fitToHeight="1" fitToWidth="1" horizontalDpi="300" verticalDpi="300" orientation="landscape" scale="73" r:id="rId2"/>
  <headerFooter alignWithMargins="0">
    <oddFooter>&amp;L&amp;D&amp;Rpage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view="pageBreakPreview" zoomScaleSheetLayoutView="100" zoomScalePageLayoutView="0" workbookViewId="0" topLeftCell="A114">
      <selection activeCell="F133" sqref="F133"/>
    </sheetView>
  </sheetViews>
  <sheetFormatPr defaultColWidth="9.140625" defaultRowHeight="12.75" outlineLevelRow="1"/>
  <cols>
    <col min="1" max="1" width="9.28125" style="1" bestFit="1" customWidth="1"/>
    <col min="2" max="2" width="17.57421875" style="0" bestFit="1" customWidth="1"/>
    <col min="3" max="3" width="13.140625" style="0" bestFit="1" customWidth="1"/>
    <col min="4" max="4" width="13.140625" style="0" customWidth="1"/>
    <col min="5" max="5" width="14.00390625" style="0" bestFit="1" customWidth="1"/>
    <col min="6" max="6" width="13.421875" style="0" bestFit="1" customWidth="1"/>
    <col min="7" max="7" width="15.140625" style="0" bestFit="1" customWidth="1"/>
    <col min="8" max="8" width="14.00390625" style="0" bestFit="1" customWidth="1"/>
    <col min="9" max="9" width="10.57421875" style="17" customWidth="1"/>
    <col min="10" max="10" width="13.421875" style="0" bestFit="1" customWidth="1"/>
  </cols>
  <sheetData>
    <row r="1" spans="1:8" ht="18">
      <c r="A1" s="680" t="s">
        <v>0</v>
      </c>
      <c r="B1" s="680"/>
      <c r="C1" s="680"/>
      <c r="D1" s="680"/>
      <c r="E1" s="680"/>
      <c r="F1" s="680"/>
      <c r="G1" s="680"/>
      <c r="H1" s="680"/>
    </row>
    <row r="2" spans="1:8" ht="18">
      <c r="A2" s="681" t="s">
        <v>59</v>
      </c>
      <c r="B2" s="681"/>
      <c r="C2" s="681"/>
      <c r="D2" s="681"/>
      <c r="E2" s="681"/>
      <c r="F2" s="681"/>
      <c r="G2" s="681"/>
      <c r="H2" s="681"/>
    </row>
    <row r="3" spans="1:8" ht="12.75">
      <c r="A3" s="682" t="s">
        <v>36</v>
      </c>
      <c r="B3" s="682"/>
      <c r="C3" s="682"/>
      <c r="D3" s="682"/>
      <c r="E3" s="682"/>
      <c r="F3" s="682"/>
      <c r="G3" s="682"/>
      <c r="H3" s="682"/>
    </row>
    <row r="4" ht="13.5" thickBot="1"/>
    <row r="5" spans="1:8" ht="12.75">
      <c r="A5" s="6" t="s">
        <v>1</v>
      </c>
      <c r="B5" s="6" t="s">
        <v>10</v>
      </c>
      <c r="C5" s="6" t="s">
        <v>3</v>
      </c>
      <c r="D5" s="6" t="s">
        <v>82</v>
      </c>
      <c r="E5" s="6" t="s">
        <v>5</v>
      </c>
      <c r="F5" s="6" t="s">
        <v>6</v>
      </c>
      <c r="G5" s="6" t="s">
        <v>7</v>
      </c>
      <c r="H5" s="6" t="s">
        <v>9</v>
      </c>
    </row>
    <row r="6" spans="1:8" ht="13.5" thickBot="1">
      <c r="A6" s="2" t="s">
        <v>2</v>
      </c>
      <c r="B6" s="2" t="s">
        <v>11</v>
      </c>
      <c r="C6" s="2" t="s">
        <v>4</v>
      </c>
      <c r="D6" s="2" t="s">
        <v>27</v>
      </c>
      <c r="E6" s="2" t="s">
        <v>27</v>
      </c>
      <c r="F6" s="2" t="s">
        <v>26</v>
      </c>
      <c r="G6" s="2" t="s">
        <v>8</v>
      </c>
      <c r="H6" s="2" t="s">
        <v>8</v>
      </c>
    </row>
    <row r="7" spans="1:9" ht="12.75" hidden="1" outlineLevel="1">
      <c r="A7" s="10">
        <v>36342</v>
      </c>
      <c r="B7" s="14" t="s">
        <v>12</v>
      </c>
      <c r="C7" s="15">
        <v>36373</v>
      </c>
      <c r="D7" s="15"/>
      <c r="E7" s="262">
        <v>1943.883</v>
      </c>
      <c r="F7" s="37">
        <v>5.38</v>
      </c>
      <c r="G7" s="13">
        <f aca="true" t="shared" si="0" ref="G7:G18">E7*F7</f>
        <v>10458.09054</v>
      </c>
      <c r="H7" s="108">
        <f aca="true" t="shared" si="1" ref="H7:H18">G7*0.6</f>
        <v>6274.854323999999</v>
      </c>
      <c r="I7" s="18" t="s">
        <v>23</v>
      </c>
    </row>
    <row r="8" spans="1:8" ht="12.75" hidden="1" outlineLevel="1">
      <c r="A8" s="10">
        <v>36373</v>
      </c>
      <c r="B8" s="9" t="s">
        <v>12</v>
      </c>
      <c r="C8" s="5">
        <v>36403</v>
      </c>
      <c r="D8" s="5"/>
      <c r="E8" s="263">
        <v>2917.143</v>
      </c>
      <c r="F8" s="38">
        <v>5.81</v>
      </c>
      <c r="G8" s="3">
        <f t="shared" si="0"/>
        <v>16948.60083</v>
      </c>
      <c r="H8" s="110">
        <f t="shared" si="1"/>
        <v>10169.160498</v>
      </c>
    </row>
    <row r="9" spans="1:8" ht="12.75" hidden="1" outlineLevel="1">
      <c r="A9" s="10">
        <v>36404</v>
      </c>
      <c r="B9" s="9" t="s">
        <v>12</v>
      </c>
      <c r="C9" s="5">
        <v>36434</v>
      </c>
      <c r="D9" s="5"/>
      <c r="E9" s="263">
        <v>2483.394</v>
      </c>
      <c r="F9" s="38">
        <v>5.95</v>
      </c>
      <c r="G9" s="3">
        <f t="shared" si="0"/>
        <v>14776.1943</v>
      </c>
      <c r="H9" s="110">
        <f t="shared" si="1"/>
        <v>8865.716579999998</v>
      </c>
    </row>
    <row r="10" spans="1:8" ht="12.75" hidden="1" outlineLevel="1">
      <c r="A10" s="10">
        <v>36434</v>
      </c>
      <c r="B10" s="9" t="s">
        <v>12</v>
      </c>
      <c r="C10" s="5">
        <v>36465</v>
      </c>
      <c r="D10" s="5"/>
      <c r="E10" s="263">
        <v>3106.673</v>
      </c>
      <c r="F10" s="38">
        <v>5.769500000000001</v>
      </c>
      <c r="G10" s="3">
        <f t="shared" si="0"/>
        <v>17923.9498735</v>
      </c>
      <c r="H10" s="110">
        <f t="shared" si="1"/>
        <v>10754.369924100001</v>
      </c>
    </row>
    <row r="11" spans="1:8" ht="12.75" hidden="1" outlineLevel="1">
      <c r="A11" s="10">
        <v>36465</v>
      </c>
      <c r="B11" s="10" t="s">
        <v>12</v>
      </c>
      <c r="C11" s="4">
        <v>36495</v>
      </c>
      <c r="D11" s="4"/>
      <c r="E11" s="263">
        <v>3230.272</v>
      </c>
      <c r="F11" s="38">
        <v>5.79</v>
      </c>
      <c r="G11" s="3">
        <f t="shared" si="0"/>
        <v>18703.27488</v>
      </c>
      <c r="H11" s="110">
        <f t="shared" si="1"/>
        <v>11221.964928</v>
      </c>
    </row>
    <row r="12" spans="1:8" ht="12.75" hidden="1" outlineLevel="1">
      <c r="A12" s="10">
        <v>36495</v>
      </c>
      <c r="B12" s="10" t="s">
        <v>12</v>
      </c>
      <c r="C12" s="4">
        <v>36526</v>
      </c>
      <c r="D12" s="4"/>
      <c r="E12" s="263">
        <v>4260.224</v>
      </c>
      <c r="F12" s="38">
        <v>5.799</v>
      </c>
      <c r="G12" s="3">
        <f t="shared" si="0"/>
        <v>24705.038976000003</v>
      </c>
      <c r="H12" s="110">
        <f t="shared" si="1"/>
        <v>14823.023385600001</v>
      </c>
    </row>
    <row r="13" spans="1:8" ht="12.75" hidden="1" outlineLevel="1">
      <c r="A13" s="10">
        <v>36526</v>
      </c>
      <c r="B13" s="10" t="s">
        <v>12</v>
      </c>
      <c r="C13" s="4">
        <v>36557</v>
      </c>
      <c r="D13" s="4"/>
      <c r="E13" s="263">
        <v>4633.174</v>
      </c>
      <c r="F13" s="38">
        <v>5.799</v>
      </c>
      <c r="G13" s="3">
        <f t="shared" si="0"/>
        <v>26867.776026000003</v>
      </c>
      <c r="H13" s="110">
        <f t="shared" si="1"/>
        <v>16120.6656156</v>
      </c>
    </row>
    <row r="14" spans="1:8" ht="12.75" hidden="1" outlineLevel="1">
      <c r="A14" s="10">
        <v>36557</v>
      </c>
      <c r="B14" s="10" t="s">
        <v>12</v>
      </c>
      <c r="C14" s="4">
        <v>36586</v>
      </c>
      <c r="D14" s="4"/>
      <c r="E14" s="263">
        <v>4633.487</v>
      </c>
      <c r="F14" s="38">
        <v>5.86</v>
      </c>
      <c r="G14" s="3">
        <f t="shared" si="0"/>
        <v>27152.23382</v>
      </c>
      <c r="H14" s="110">
        <f t="shared" si="1"/>
        <v>16291.340292</v>
      </c>
    </row>
    <row r="15" spans="1:8" ht="12.75" hidden="1" outlineLevel="1">
      <c r="A15" s="10">
        <v>36586</v>
      </c>
      <c r="B15" s="10" t="s">
        <v>12</v>
      </c>
      <c r="C15" s="4">
        <v>36617</v>
      </c>
      <c r="D15" s="4"/>
      <c r="E15" s="263">
        <v>1847.23</v>
      </c>
      <c r="F15" s="38">
        <v>5.89</v>
      </c>
      <c r="G15" s="3">
        <f t="shared" si="0"/>
        <v>10880.1847</v>
      </c>
      <c r="H15" s="110">
        <f t="shared" si="1"/>
        <v>6528.11082</v>
      </c>
    </row>
    <row r="16" spans="1:8" ht="12.75" hidden="1" outlineLevel="1">
      <c r="A16" s="10">
        <v>36617</v>
      </c>
      <c r="B16" s="10" t="s">
        <v>12</v>
      </c>
      <c r="C16" s="4">
        <v>36647</v>
      </c>
      <c r="D16" s="4"/>
      <c r="E16" s="263">
        <v>1704.294</v>
      </c>
      <c r="F16" s="38">
        <v>6.5206</v>
      </c>
      <c r="G16" s="3">
        <f t="shared" si="0"/>
        <v>11113.019456400001</v>
      </c>
      <c r="H16" s="110">
        <f t="shared" si="1"/>
        <v>6667.81167384</v>
      </c>
    </row>
    <row r="17" spans="1:8" ht="12.75" hidden="1" outlineLevel="1">
      <c r="A17" s="10">
        <v>36647</v>
      </c>
      <c r="B17" s="10" t="s">
        <v>12</v>
      </c>
      <c r="C17" s="4">
        <v>36678</v>
      </c>
      <c r="D17" s="4"/>
      <c r="E17" s="263">
        <v>2195.008</v>
      </c>
      <c r="F17" s="38">
        <v>7.283</v>
      </c>
      <c r="G17" s="3">
        <f t="shared" si="0"/>
        <v>15986.243263999999</v>
      </c>
      <c r="H17" s="110">
        <f t="shared" si="1"/>
        <v>9591.745958399999</v>
      </c>
    </row>
    <row r="18" spans="1:8" ht="13.5" hidden="1" outlineLevel="1" thickBot="1">
      <c r="A18" s="369">
        <v>36678</v>
      </c>
      <c r="B18" s="11" t="s">
        <v>12</v>
      </c>
      <c r="C18" s="12">
        <v>36708</v>
      </c>
      <c r="D18" s="12"/>
      <c r="E18" s="264">
        <v>2846.4</v>
      </c>
      <c r="F18" s="39">
        <v>8.504</v>
      </c>
      <c r="G18" s="16">
        <f t="shared" si="0"/>
        <v>24205.7856</v>
      </c>
      <c r="H18" s="112">
        <f t="shared" si="1"/>
        <v>14523.47136</v>
      </c>
    </row>
    <row r="19" spans="1:8" ht="12.75" hidden="1" outlineLevel="1">
      <c r="A19" s="10" t="s">
        <v>13</v>
      </c>
      <c r="B19" s="10" t="s">
        <v>14</v>
      </c>
      <c r="C19" s="4">
        <v>36373</v>
      </c>
      <c r="D19" s="4"/>
      <c r="E19" s="263">
        <v>2332.6</v>
      </c>
      <c r="F19" s="40">
        <v>8.82</v>
      </c>
      <c r="G19" s="3">
        <f aca="true" t="shared" si="2" ref="G19:G28">E19*F19</f>
        <v>20573.532</v>
      </c>
      <c r="H19" s="108">
        <f aca="true" t="shared" si="3" ref="H19:H82">G19*0.6</f>
        <v>12344.1192</v>
      </c>
    </row>
    <row r="20" spans="1:8" ht="12.75" hidden="1" outlineLevel="1">
      <c r="A20" s="10" t="s">
        <v>18</v>
      </c>
      <c r="B20" s="10" t="s">
        <v>15</v>
      </c>
      <c r="C20" s="4">
        <v>36404</v>
      </c>
      <c r="D20" s="4"/>
      <c r="E20" s="263">
        <v>3500.572</v>
      </c>
      <c r="F20" s="40">
        <v>7.74</v>
      </c>
      <c r="G20" s="3">
        <f t="shared" si="2"/>
        <v>27094.42728</v>
      </c>
      <c r="H20" s="110">
        <f t="shared" si="3"/>
        <v>16256.656368</v>
      </c>
    </row>
    <row r="21" spans="1:8" ht="12.75" hidden="1" outlineLevel="1">
      <c r="A21" s="10" t="s">
        <v>19</v>
      </c>
      <c r="B21" s="10" t="s">
        <v>16</v>
      </c>
      <c r="C21" s="4">
        <v>36434</v>
      </c>
      <c r="D21" s="4"/>
      <c r="E21" s="263">
        <v>2980.073</v>
      </c>
      <c r="F21" s="40">
        <v>9.71</v>
      </c>
      <c r="G21" s="3">
        <f t="shared" si="2"/>
        <v>28936.508830000002</v>
      </c>
      <c r="H21" s="110">
        <f t="shared" si="3"/>
        <v>17361.905298</v>
      </c>
    </row>
    <row r="22" spans="1:8" ht="12.75" hidden="1" outlineLevel="1">
      <c r="A22" s="10" t="s">
        <v>20</v>
      </c>
      <c r="B22" s="10" t="s">
        <v>17</v>
      </c>
      <c r="C22" s="4">
        <v>36465</v>
      </c>
      <c r="D22" s="4"/>
      <c r="E22" s="263">
        <v>3728.007</v>
      </c>
      <c r="F22" s="40">
        <v>9.7368</v>
      </c>
      <c r="G22" s="3">
        <f t="shared" si="2"/>
        <v>36298.858557600004</v>
      </c>
      <c r="H22" s="110">
        <f t="shared" si="3"/>
        <v>21779.31513456</v>
      </c>
    </row>
    <row r="23" spans="1:9" ht="12.75" hidden="1" outlineLevel="1">
      <c r="A23" s="10">
        <v>36831</v>
      </c>
      <c r="B23" s="10" t="s">
        <v>12</v>
      </c>
      <c r="C23" s="4">
        <v>36866</v>
      </c>
      <c r="D23" s="4"/>
      <c r="E23" s="263">
        <v>1407.044</v>
      </c>
      <c r="F23" s="40">
        <v>9.85468</v>
      </c>
      <c r="G23" s="3">
        <f t="shared" si="2"/>
        <v>13865.968365920002</v>
      </c>
      <c r="H23" s="110">
        <f t="shared" si="3"/>
        <v>8319.581019552</v>
      </c>
      <c r="I23" s="19"/>
    </row>
    <row r="24" spans="1:9" ht="12.75" hidden="1" outlineLevel="1">
      <c r="A24" s="10">
        <v>36861</v>
      </c>
      <c r="B24" s="10" t="s">
        <v>12</v>
      </c>
      <c r="C24" s="4">
        <v>36900</v>
      </c>
      <c r="D24" s="4"/>
      <c r="E24" s="263">
        <v>2599.147</v>
      </c>
      <c r="F24" s="40">
        <v>10.848</v>
      </c>
      <c r="G24" s="3">
        <f t="shared" si="2"/>
        <v>28195.546656000002</v>
      </c>
      <c r="H24" s="110">
        <f t="shared" si="3"/>
        <v>16917.3279936</v>
      </c>
      <c r="I24" s="19"/>
    </row>
    <row r="25" spans="1:9" ht="12.75" hidden="1" outlineLevel="1">
      <c r="A25" s="10">
        <v>36892</v>
      </c>
      <c r="B25" s="10" t="s">
        <v>12</v>
      </c>
      <c r="C25" s="4">
        <v>36929</v>
      </c>
      <c r="D25" s="4"/>
      <c r="E25" s="263">
        <v>2266.265</v>
      </c>
      <c r="F25" s="40">
        <v>9.71498</v>
      </c>
      <c r="G25" s="3">
        <f t="shared" si="2"/>
        <v>22016.7191497</v>
      </c>
      <c r="H25" s="110">
        <f t="shared" si="3"/>
        <v>13210.03148982</v>
      </c>
      <c r="I25" s="19"/>
    </row>
    <row r="26" spans="1:9" ht="12.75" hidden="1" outlineLevel="1">
      <c r="A26" s="10">
        <v>36923</v>
      </c>
      <c r="B26" s="10" t="s">
        <v>12</v>
      </c>
      <c r="C26" s="4">
        <v>36956</v>
      </c>
      <c r="D26" s="4"/>
      <c r="E26" s="263">
        <v>2219.394</v>
      </c>
      <c r="F26" s="40">
        <v>9.66</v>
      </c>
      <c r="G26" s="3">
        <f t="shared" si="2"/>
        <v>21439.346039999997</v>
      </c>
      <c r="H26" s="110">
        <f t="shared" si="3"/>
        <v>12863.607623999998</v>
      </c>
      <c r="I26" s="19"/>
    </row>
    <row r="27" spans="1:9" ht="12.75" hidden="1" outlineLevel="1">
      <c r="A27" s="10">
        <v>36951</v>
      </c>
      <c r="B27" s="10" t="s">
        <v>12</v>
      </c>
      <c r="C27" s="4">
        <v>36985</v>
      </c>
      <c r="D27" s="4"/>
      <c r="E27" s="263">
        <v>2042.994</v>
      </c>
      <c r="F27" s="40">
        <v>9.62</v>
      </c>
      <c r="G27" s="3">
        <f t="shared" si="2"/>
        <v>19653.60228</v>
      </c>
      <c r="H27" s="110">
        <f t="shared" si="3"/>
        <v>11792.161368</v>
      </c>
      <c r="I27" s="19"/>
    </row>
    <row r="28" spans="1:9" ht="12.75" hidden="1" outlineLevel="1">
      <c r="A28" s="10">
        <v>36982</v>
      </c>
      <c r="B28" s="10" t="s">
        <v>12</v>
      </c>
      <c r="C28" s="4">
        <v>37012</v>
      </c>
      <c r="D28" s="4"/>
      <c r="E28" s="263">
        <v>1132.867</v>
      </c>
      <c r="F28" s="40">
        <v>9.7</v>
      </c>
      <c r="G28" s="3">
        <f t="shared" si="2"/>
        <v>10988.809899999998</v>
      </c>
      <c r="H28" s="110">
        <f t="shared" si="3"/>
        <v>6593.285939999999</v>
      </c>
      <c r="I28" s="19"/>
    </row>
    <row r="29" spans="1:10" s="17" customFormat="1" ht="12.75" hidden="1" outlineLevel="1">
      <c r="A29" s="23">
        <v>37012</v>
      </c>
      <c r="B29" s="683" t="s">
        <v>24</v>
      </c>
      <c r="C29" s="684"/>
      <c r="D29" s="241"/>
      <c r="E29" s="265">
        <v>2195.008</v>
      </c>
      <c r="F29" s="43">
        <v>10.3334</v>
      </c>
      <c r="G29" s="26">
        <f>E29*F29</f>
        <v>22681.895667199995</v>
      </c>
      <c r="H29" s="110">
        <f t="shared" si="3"/>
        <v>13609.137400319996</v>
      </c>
      <c r="I29" s="96">
        <v>1946367</v>
      </c>
      <c r="J29" s="17" t="s">
        <v>66</v>
      </c>
    </row>
    <row r="30" spans="1:10" s="17" customFormat="1" ht="13.5" hidden="1" outlineLevel="1" thickBot="1">
      <c r="A30" s="370">
        <v>37043</v>
      </c>
      <c r="B30" s="678" t="s">
        <v>25</v>
      </c>
      <c r="C30" s="679"/>
      <c r="D30" s="240"/>
      <c r="E30" s="266">
        <v>2846.4</v>
      </c>
      <c r="F30" s="41">
        <v>10.3334</v>
      </c>
      <c r="G30" s="44">
        <f>E30*F30</f>
        <v>29412.98976</v>
      </c>
      <c r="H30" s="112">
        <f t="shared" si="3"/>
        <v>17647.793856</v>
      </c>
      <c r="I30" s="96">
        <v>1850935</v>
      </c>
      <c r="J30" s="17" t="s">
        <v>67</v>
      </c>
    </row>
    <row r="31" spans="1:10" ht="12.75" hidden="1" outlineLevel="1">
      <c r="A31" s="114">
        <v>37073</v>
      </c>
      <c r="B31" s="104" t="s">
        <v>12</v>
      </c>
      <c r="C31" s="105">
        <v>37104</v>
      </c>
      <c r="D31" s="242"/>
      <c r="E31" s="267">
        <v>2092.601</v>
      </c>
      <c r="F31" s="106">
        <v>10.8366</v>
      </c>
      <c r="G31" s="107">
        <f aca="true" t="shared" si="4" ref="G31:G42">E31*F31</f>
        <v>22676.679996600004</v>
      </c>
      <c r="H31" s="108">
        <f t="shared" si="3"/>
        <v>13606.007997960001</v>
      </c>
      <c r="I31" s="97"/>
      <c r="J31" s="98"/>
    </row>
    <row r="32" spans="1:10" ht="12.75" hidden="1" outlineLevel="1">
      <c r="A32" s="23">
        <v>37104</v>
      </c>
      <c r="B32" s="99" t="s">
        <v>12</v>
      </c>
      <c r="C32" s="109">
        <v>37135</v>
      </c>
      <c r="D32" s="243"/>
      <c r="E32" s="268">
        <v>2274.14</v>
      </c>
      <c r="F32" s="41">
        <v>10.8366</v>
      </c>
      <c r="G32" s="26">
        <f t="shared" si="4"/>
        <v>24643.945524</v>
      </c>
      <c r="H32" s="110">
        <f t="shared" si="3"/>
        <v>14786.367314399999</v>
      </c>
      <c r="I32" s="96"/>
      <c r="J32" s="98"/>
    </row>
    <row r="33" spans="1:10" ht="12.75" hidden="1" outlineLevel="1">
      <c r="A33" s="23">
        <v>37135</v>
      </c>
      <c r="B33" s="99" t="s">
        <v>12</v>
      </c>
      <c r="C33" s="24">
        <v>37165</v>
      </c>
      <c r="D33" s="244"/>
      <c r="E33" s="268">
        <v>2287.388</v>
      </c>
      <c r="F33" s="41">
        <v>10.8366</v>
      </c>
      <c r="G33" s="26">
        <f t="shared" si="4"/>
        <v>24787.508800800002</v>
      </c>
      <c r="H33" s="110">
        <f t="shared" si="3"/>
        <v>14872.50528048</v>
      </c>
      <c r="I33" s="96"/>
      <c r="J33" s="98"/>
    </row>
    <row r="34" spans="1:10" ht="12.75" hidden="1" outlineLevel="1">
      <c r="A34" s="23">
        <v>37165</v>
      </c>
      <c r="B34" s="99" t="s">
        <v>12</v>
      </c>
      <c r="C34" s="109">
        <v>37196</v>
      </c>
      <c r="D34" s="243"/>
      <c r="E34" s="268">
        <v>2524.712</v>
      </c>
      <c r="F34" s="41">
        <v>10.8366</v>
      </c>
      <c r="G34" s="26">
        <f t="shared" si="4"/>
        <v>27359.2940592</v>
      </c>
      <c r="H34" s="110">
        <f t="shared" si="3"/>
        <v>16415.57643552</v>
      </c>
      <c r="I34" s="96"/>
      <c r="J34" s="98"/>
    </row>
    <row r="35" spans="1:10" ht="12.75" hidden="1" outlineLevel="1">
      <c r="A35" s="23">
        <v>37196</v>
      </c>
      <c r="B35" s="100" t="s">
        <v>12</v>
      </c>
      <c r="C35" s="24">
        <v>37226</v>
      </c>
      <c r="D35" s="244"/>
      <c r="E35" s="268">
        <v>1747.89</v>
      </c>
      <c r="F35" s="41">
        <v>10.8366</v>
      </c>
      <c r="G35" s="26">
        <f t="shared" si="4"/>
        <v>18941.184774</v>
      </c>
      <c r="H35" s="110">
        <f t="shared" si="3"/>
        <v>11364.7108644</v>
      </c>
      <c r="I35" s="96"/>
      <c r="J35" s="98"/>
    </row>
    <row r="36" spans="1:10" ht="12.75" hidden="1" outlineLevel="1">
      <c r="A36" s="23">
        <v>37226</v>
      </c>
      <c r="B36" s="100" t="s">
        <v>12</v>
      </c>
      <c r="C36" s="24">
        <v>37257</v>
      </c>
      <c r="D36" s="244"/>
      <c r="E36" s="268">
        <v>1806.54</v>
      </c>
      <c r="F36" s="41">
        <v>10.8366</v>
      </c>
      <c r="G36" s="26">
        <f t="shared" si="4"/>
        <v>19576.751364</v>
      </c>
      <c r="H36" s="110">
        <f t="shared" si="3"/>
        <v>11746.0508184</v>
      </c>
      <c r="I36" s="96"/>
      <c r="J36" s="98"/>
    </row>
    <row r="37" spans="1:10" ht="12.75" hidden="1" outlineLevel="1">
      <c r="A37" s="23">
        <v>37257</v>
      </c>
      <c r="B37" s="100" t="s">
        <v>12</v>
      </c>
      <c r="C37" s="24">
        <v>37288</v>
      </c>
      <c r="D37" s="244"/>
      <c r="E37" s="268">
        <v>2217.022</v>
      </c>
      <c r="F37" s="41">
        <v>10.8366</v>
      </c>
      <c r="G37" s="26">
        <f t="shared" si="4"/>
        <v>24024.980605200002</v>
      </c>
      <c r="H37" s="110">
        <f t="shared" si="3"/>
        <v>14414.988363120001</v>
      </c>
      <c r="J37" s="98"/>
    </row>
    <row r="38" spans="1:8" ht="12.75" hidden="1" outlineLevel="1">
      <c r="A38" s="23">
        <v>37288</v>
      </c>
      <c r="B38" s="100" t="s">
        <v>12</v>
      </c>
      <c r="C38" s="24">
        <v>37316</v>
      </c>
      <c r="D38" s="244"/>
      <c r="E38" s="268">
        <f>2342.684+2342.684/30</f>
        <v>2420.773466666667</v>
      </c>
      <c r="F38" s="41">
        <v>10.8366</v>
      </c>
      <c r="G38" s="26">
        <f>E38*F38</f>
        <v>26232.953748880005</v>
      </c>
      <c r="H38" s="110">
        <f t="shared" si="3"/>
        <v>15739.772249328002</v>
      </c>
    </row>
    <row r="39" spans="1:8" ht="12.75" hidden="1" outlineLevel="1">
      <c r="A39" s="23">
        <v>37316</v>
      </c>
      <c r="B39" s="100" t="s">
        <v>12</v>
      </c>
      <c r="C39" s="24">
        <v>37347</v>
      </c>
      <c r="D39" s="244"/>
      <c r="E39" s="268">
        <v>3168.736</v>
      </c>
      <c r="F39" s="41">
        <v>10.8366</v>
      </c>
      <c r="G39" s="26">
        <f>E39*F39</f>
        <v>34338.3245376</v>
      </c>
      <c r="H39" s="110">
        <f t="shared" si="3"/>
        <v>20602.994722559997</v>
      </c>
    </row>
    <row r="40" spans="1:8" ht="12.75" hidden="1" outlineLevel="1">
      <c r="A40" s="23">
        <v>37347</v>
      </c>
      <c r="B40" s="100" t="s">
        <v>12</v>
      </c>
      <c r="C40" s="24">
        <v>37377</v>
      </c>
      <c r="D40" s="244"/>
      <c r="E40" s="268">
        <f>E29</f>
        <v>2195.008</v>
      </c>
      <c r="F40" s="41">
        <v>10.8366</v>
      </c>
      <c r="G40" s="26">
        <f t="shared" si="4"/>
        <v>23786.4236928</v>
      </c>
      <c r="H40" s="110">
        <f t="shared" si="3"/>
        <v>14271.85421568</v>
      </c>
    </row>
    <row r="41" spans="1:8" ht="12.75" hidden="1" outlineLevel="1">
      <c r="A41" s="23">
        <v>37377</v>
      </c>
      <c r="B41" s="100" t="s">
        <v>12</v>
      </c>
      <c r="C41" s="24">
        <v>37408</v>
      </c>
      <c r="D41" s="244"/>
      <c r="E41" s="268">
        <v>1027.256</v>
      </c>
      <c r="F41" s="41">
        <v>10.8366</v>
      </c>
      <c r="G41" s="26">
        <f t="shared" si="4"/>
        <v>11131.962369600002</v>
      </c>
      <c r="H41" s="110">
        <f t="shared" si="3"/>
        <v>6679.1774217600005</v>
      </c>
    </row>
    <row r="42" spans="1:13" ht="13.5" hidden="1" outlineLevel="1" thickBot="1">
      <c r="A42" s="27">
        <v>37408</v>
      </c>
      <c r="B42" s="111" t="s">
        <v>74</v>
      </c>
      <c r="C42" s="28">
        <v>37438</v>
      </c>
      <c r="D42" s="245"/>
      <c r="E42" s="269">
        <f>(E18+I30/1000)/2</f>
        <v>2348.6675</v>
      </c>
      <c r="F42" s="50">
        <v>10.8366</v>
      </c>
      <c r="G42" s="31">
        <f t="shared" si="4"/>
        <v>25451.5702305</v>
      </c>
      <c r="H42" s="112">
        <f t="shared" si="3"/>
        <v>15270.9421383</v>
      </c>
      <c r="I42" s="96">
        <v>731532</v>
      </c>
      <c r="J42" t="s">
        <v>72</v>
      </c>
      <c r="M42" t="s">
        <v>69</v>
      </c>
    </row>
    <row r="43" spans="1:13" s="17" customFormat="1" ht="12.75" collapsed="1">
      <c r="A43" s="114">
        <v>37438</v>
      </c>
      <c r="B43" s="104" t="s">
        <v>12</v>
      </c>
      <c r="C43" s="105">
        <v>37469</v>
      </c>
      <c r="D43" s="242"/>
      <c r="E43" s="267">
        <v>570.683</v>
      </c>
      <c r="F43" s="106">
        <v>8.556</v>
      </c>
      <c r="G43" s="107">
        <f aca="true" t="shared" si="5" ref="G43:G49">E43*F43</f>
        <v>4882.763747999999</v>
      </c>
      <c r="H43" s="108">
        <f t="shared" si="3"/>
        <v>2929.6582487999995</v>
      </c>
      <c r="I43" s="97"/>
      <c r="J43" s="17" t="s">
        <v>68</v>
      </c>
      <c r="M43" s="17" t="s">
        <v>70</v>
      </c>
    </row>
    <row r="44" spans="1:13" s="147" customFormat="1" ht="12.75">
      <c r="A44" s="360">
        <v>37469</v>
      </c>
      <c r="B44" s="209" t="s">
        <v>12</v>
      </c>
      <c r="C44" s="210">
        <v>37500</v>
      </c>
      <c r="D44" s="246"/>
      <c r="E44" s="270">
        <v>943.152</v>
      </c>
      <c r="F44" s="211">
        <v>8.556</v>
      </c>
      <c r="G44" s="199">
        <f t="shared" si="5"/>
        <v>8069.608512</v>
      </c>
      <c r="H44" s="212">
        <f t="shared" si="3"/>
        <v>4841.7651072</v>
      </c>
      <c r="I44" s="97"/>
      <c r="J44" s="213"/>
      <c r="M44" s="147" t="s">
        <v>71</v>
      </c>
    </row>
    <row r="45" spans="1:10" s="147" customFormat="1" ht="12.75">
      <c r="A45" s="360">
        <v>37500</v>
      </c>
      <c r="B45" s="209" t="s">
        <v>12</v>
      </c>
      <c r="C45" s="210">
        <v>37530</v>
      </c>
      <c r="D45" s="246"/>
      <c r="E45" s="270">
        <v>2059.43152</v>
      </c>
      <c r="F45" s="211">
        <v>8.556</v>
      </c>
      <c r="G45" s="199">
        <f t="shared" si="5"/>
        <v>17620.496085119998</v>
      </c>
      <c r="H45" s="212">
        <f t="shared" si="3"/>
        <v>10572.297651071998</v>
      </c>
      <c r="I45" s="97"/>
      <c r="J45" s="213"/>
    </row>
    <row r="46" spans="1:10" s="147" customFormat="1" ht="12.75">
      <c r="A46" s="360">
        <v>37530</v>
      </c>
      <c r="B46" s="209" t="s">
        <v>12</v>
      </c>
      <c r="C46" s="210">
        <v>37561</v>
      </c>
      <c r="D46" s="246"/>
      <c r="E46" s="270">
        <v>1346.2</v>
      </c>
      <c r="F46" s="211">
        <v>8.556</v>
      </c>
      <c r="G46" s="199">
        <f t="shared" si="5"/>
        <v>11518.0872</v>
      </c>
      <c r="H46" s="212">
        <f t="shared" si="3"/>
        <v>6910.85232</v>
      </c>
      <c r="I46" s="97"/>
      <c r="J46" s="213"/>
    </row>
    <row r="47" spans="1:10" s="147" customFormat="1" ht="12.75">
      <c r="A47" s="360">
        <v>37561</v>
      </c>
      <c r="B47" s="155" t="s">
        <v>12</v>
      </c>
      <c r="C47" s="210">
        <v>37591</v>
      </c>
      <c r="D47" s="246"/>
      <c r="E47" s="270">
        <v>1544.493</v>
      </c>
      <c r="F47" s="211">
        <v>8.556</v>
      </c>
      <c r="G47" s="199">
        <f t="shared" si="5"/>
        <v>13214.682107999999</v>
      </c>
      <c r="H47" s="212">
        <f t="shared" si="3"/>
        <v>7928.809264799999</v>
      </c>
      <c r="I47" s="97"/>
      <c r="J47" s="213"/>
    </row>
    <row r="48" spans="1:10" s="147" customFormat="1" ht="12.75">
      <c r="A48" s="360">
        <v>37591</v>
      </c>
      <c r="B48" s="155" t="s">
        <v>12</v>
      </c>
      <c r="C48" s="210">
        <v>37622</v>
      </c>
      <c r="D48" s="246"/>
      <c r="E48" s="270">
        <v>2270.197</v>
      </c>
      <c r="F48" s="211">
        <v>8.556</v>
      </c>
      <c r="G48" s="199">
        <f t="shared" si="5"/>
        <v>19423.805532</v>
      </c>
      <c r="H48" s="212">
        <f t="shared" si="3"/>
        <v>11654.283319199998</v>
      </c>
      <c r="I48" s="97"/>
      <c r="J48" s="213"/>
    </row>
    <row r="49" spans="1:10" s="147" customFormat="1" ht="12.75">
      <c r="A49" s="360">
        <v>37622</v>
      </c>
      <c r="B49" s="155" t="s">
        <v>12</v>
      </c>
      <c r="C49" s="210">
        <v>37653</v>
      </c>
      <c r="D49" s="246"/>
      <c r="E49" s="270">
        <v>2654.244</v>
      </c>
      <c r="F49" s="211">
        <v>8.556</v>
      </c>
      <c r="G49" s="199">
        <f t="shared" si="5"/>
        <v>22709.711664</v>
      </c>
      <c r="H49" s="212">
        <f t="shared" si="3"/>
        <v>13625.826998399998</v>
      </c>
      <c r="J49" s="213"/>
    </row>
    <row r="50" spans="1:8" s="147" customFormat="1" ht="12.75">
      <c r="A50" s="360">
        <v>37653</v>
      </c>
      <c r="B50" s="155" t="s">
        <v>12</v>
      </c>
      <c r="C50" s="210">
        <v>37681</v>
      </c>
      <c r="D50" s="246"/>
      <c r="E50" s="270">
        <v>2342.921</v>
      </c>
      <c r="F50" s="211">
        <v>8.556</v>
      </c>
      <c r="G50" s="199">
        <f>E50*F50</f>
        <v>20046.032075999996</v>
      </c>
      <c r="H50" s="212">
        <f t="shared" si="3"/>
        <v>12027.619245599997</v>
      </c>
    </row>
    <row r="51" spans="1:8" s="147" customFormat="1" ht="12.75">
      <c r="A51" s="360">
        <v>37681</v>
      </c>
      <c r="B51" s="155" t="s">
        <v>12</v>
      </c>
      <c r="C51" s="210">
        <v>37712</v>
      </c>
      <c r="D51" s="246"/>
      <c r="E51" s="270">
        <v>1970.082</v>
      </c>
      <c r="F51" s="211">
        <v>8.556</v>
      </c>
      <c r="G51" s="199">
        <f>E51*F51</f>
        <v>16856.021592</v>
      </c>
      <c r="H51" s="212">
        <f t="shared" si="3"/>
        <v>10113.6129552</v>
      </c>
    </row>
    <row r="52" spans="1:8" s="147" customFormat="1" ht="12.75">
      <c r="A52" s="360">
        <v>37712</v>
      </c>
      <c r="B52" s="155" t="s">
        <v>12</v>
      </c>
      <c r="C52" s="210">
        <v>37742</v>
      </c>
      <c r="D52" s="246"/>
      <c r="E52" s="270">
        <v>977.795</v>
      </c>
      <c r="F52" s="211">
        <v>8.556</v>
      </c>
      <c r="G52" s="199">
        <f>E52*F52</f>
        <v>8366.014019999999</v>
      </c>
      <c r="H52" s="212">
        <f t="shared" si="3"/>
        <v>5019.608411999999</v>
      </c>
    </row>
    <row r="53" spans="1:9" s="147" customFormat="1" ht="12.75">
      <c r="A53" s="360">
        <v>37742</v>
      </c>
      <c r="B53" s="155" t="s">
        <v>12</v>
      </c>
      <c r="C53" s="168">
        <v>37773</v>
      </c>
      <c r="D53" s="247"/>
      <c r="E53" s="270">
        <v>917.702</v>
      </c>
      <c r="F53" s="211">
        <v>8.556</v>
      </c>
      <c r="G53" s="199">
        <f>E53*F53</f>
        <v>7851.858311999999</v>
      </c>
      <c r="H53" s="212">
        <f t="shared" si="3"/>
        <v>4711.1149872</v>
      </c>
      <c r="I53" s="97"/>
    </row>
    <row r="54" spans="1:8" s="147" customFormat="1" ht="12.75">
      <c r="A54" s="361">
        <v>37773</v>
      </c>
      <c r="B54" s="248" t="s">
        <v>12</v>
      </c>
      <c r="C54" s="249">
        <v>37803</v>
      </c>
      <c r="D54" s="249"/>
      <c r="E54" s="271">
        <v>1344.718</v>
      </c>
      <c r="F54" s="211">
        <v>8.556</v>
      </c>
      <c r="G54" s="250">
        <f>E54*F54</f>
        <v>11505.407207999999</v>
      </c>
      <c r="H54" s="251">
        <f t="shared" si="3"/>
        <v>6903.244324799999</v>
      </c>
    </row>
    <row r="55" spans="1:8" s="147" customFormat="1" ht="12.75">
      <c r="A55" s="360">
        <v>37714</v>
      </c>
      <c r="B55" s="155" t="s">
        <v>90</v>
      </c>
      <c r="C55" s="168">
        <v>37775</v>
      </c>
      <c r="D55" s="254">
        <v>12948</v>
      </c>
      <c r="E55" s="485">
        <v>2000</v>
      </c>
      <c r="F55" s="211"/>
      <c r="G55" s="199"/>
      <c r="H55" s="212"/>
    </row>
    <row r="56" spans="1:10" s="147" customFormat="1" ht="13.5" thickBot="1">
      <c r="A56" s="361">
        <v>37773</v>
      </c>
      <c r="B56" s="209" t="s">
        <v>90</v>
      </c>
      <c r="C56" s="210">
        <v>37813</v>
      </c>
      <c r="D56" s="255">
        <v>16053</v>
      </c>
      <c r="E56" s="272">
        <f>D56-D55</f>
        <v>3105</v>
      </c>
      <c r="F56" s="282"/>
      <c r="G56" s="250"/>
      <c r="H56" s="251"/>
      <c r="I56" s="97">
        <f>SUM(E45:E56)</f>
        <v>22532.78352</v>
      </c>
      <c r="J56" s="213"/>
    </row>
    <row r="57" spans="1:13" s="147" customFormat="1" ht="12.75">
      <c r="A57" s="149">
        <v>37803</v>
      </c>
      <c r="B57" s="322" t="s">
        <v>90</v>
      </c>
      <c r="C57" s="113">
        <v>37834</v>
      </c>
      <c r="D57" s="192">
        <v>17827</v>
      </c>
      <c r="E57" s="323">
        <f aca="true" t="shared" si="6" ref="E57:E65">D57-D56</f>
        <v>1774</v>
      </c>
      <c r="F57" s="324">
        <v>10.395</v>
      </c>
      <c r="G57" s="195">
        <f>E57*F57</f>
        <v>18440.73</v>
      </c>
      <c r="H57" s="325">
        <f>G57*0.6</f>
        <v>11064.438</v>
      </c>
      <c r="I57" s="97">
        <v>570683</v>
      </c>
      <c r="J57" s="213" t="s">
        <v>68</v>
      </c>
      <c r="M57" s="147" t="s">
        <v>70</v>
      </c>
    </row>
    <row r="58" spans="1:13" s="147" customFormat="1" ht="12.75">
      <c r="A58" s="360">
        <v>37834</v>
      </c>
      <c r="B58" s="209" t="s">
        <v>90</v>
      </c>
      <c r="C58" s="168">
        <v>37866</v>
      </c>
      <c r="D58" s="197">
        <v>20582</v>
      </c>
      <c r="E58" s="271">
        <f t="shared" si="6"/>
        <v>2755</v>
      </c>
      <c r="F58" s="211">
        <v>10.395</v>
      </c>
      <c r="G58" s="199">
        <f>E58*F58</f>
        <v>28638.225</v>
      </c>
      <c r="H58" s="212">
        <f t="shared" si="3"/>
        <v>17182.934999999998</v>
      </c>
      <c r="J58" s="213"/>
      <c r="M58" s="147" t="s">
        <v>71</v>
      </c>
    </row>
    <row r="59" spans="1:10" s="147" customFormat="1" ht="12.75">
      <c r="A59" s="360">
        <v>37865</v>
      </c>
      <c r="B59" s="209" t="s">
        <v>90</v>
      </c>
      <c r="C59" s="168">
        <v>37888</v>
      </c>
      <c r="D59" s="197">
        <v>22092</v>
      </c>
      <c r="E59" s="271">
        <f>D59-D58</f>
        <v>1510</v>
      </c>
      <c r="F59" s="211">
        <v>10.395</v>
      </c>
      <c r="G59" s="199">
        <f>E59*F59</f>
        <v>15696.449999999999</v>
      </c>
      <c r="H59" s="212">
        <f t="shared" si="3"/>
        <v>9417.869999999999</v>
      </c>
      <c r="J59" s="213"/>
    </row>
    <row r="60" spans="1:10" s="147" customFormat="1" ht="12.75">
      <c r="A60" s="360">
        <v>37895</v>
      </c>
      <c r="B60" s="209" t="s">
        <v>90</v>
      </c>
      <c r="C60" s="210">
        <v>37918</v>
      </c>
      <c r="D60" s="197">
        <v>24031</v>
      </c>
      <c r="E60" s="271">
        <f t="shared" si="6"/>
        <v>1939</v>
      </c>
      <c r="F60" s="211">
        <v>10.395</v>
      </c>
      <c r="G60" s="199">
        <f>E60*F60</f>
        <v>20155.905</v>
      </c>
      <c r="H60" s="212">
        <f t="shared" si="3"/>
        <v>12093.543</v>
      </c>
      <c r="I60" s="97"/>
      <c r="J60" s="213"/>
    </row>
    <row r="61" spans="1:10" s="147" customFormat="1" ht="12.75">
      <c r="A61" s="360">
        <v>37926</v>
      </c>
      <c r="B61" s="155" t="s">
        <v>90</v>
      </c>
      <c r="C61" s="210">
        <v>37946</v>
      </c>
      <c r="D61" s="197">
        <v>26070</v>
      </c>
      <c r="E61" s="271">
        <f t="shared" si="6"/>
        <v>2039</v>
      </c>
      <c r="F61" s="211">
        <v>10.395</v>
      </c>
      <c r="G61" s="199">
        <f>E61*F61</f>
        <v>21195.405</v>
      </c>
      <c r="H61" s="212">
        <f t="shared" si="3"/>
        <v>12717.242999999999</v>
      </c>
      <c r="I61" s="97"/>
      <c r="J61" s="213"/>
    </row>
    <row r="62" spans="1:10" s="147" customFormat="1" ht="12.75">
      <c r="A62" s="360">
        <v>37956</v>
      </c>
      <c r="B62" s="155" t="s">
        <v>90</v>
      </c>
      <c r="C62" s="210">
        <v>37984</v>
      </c>
      <c r="D62" s="197">
        <v>30293.7</v>
      </c>
      <c r="E62" s="271">
        <f t="shared" si="6"/>
        <v>4223.700000000001</v>
      </c>
      <c r="F62" s="211">
        <v>10.395</v>
      </c>
      <c r="G62" s="199">
        <f aca="true" t="shared" si="7" ref="G62:G68">E62*F62</f>
        <v>43905.361500000006</v>
      </c>
      <c r="H62" s="212">
        <f t="shared" si="3"/>
        <v>26343.216900000003</v>
      </c>
      <c r="I62" s="97"/>
      <c r="J62" s="213"/>
    </row>
    <row r="63" spans="1:10" s="147" customFormat="1" ht="12.75">
      <c r="A63" s="360">
        <v>37987</v>
      </c>
      <c r="B63" s="155" t="s">
        <v>90</v>
      </c>
      <c r="C63" s="210">
        <v>38015</v>
      </c>
      <c r="D63" s="197">
        <v>34280.95</v>
      </c>
      <c r="E63" s="271">
        <f t="shared" si="6"/>
        <v>3987.2499999999964</v>
      </c>
      <c r="F63" s="211">
        <v>10.395</v>
      </c>
      <c r="G63" s="199">
        <f t="shared" si="7"/>
        <v>41447.46374999996</v>
      </c>
      <c r="H63" s="212">
        <f t="shared" si="3"/>
        <v>24868.478249999975</v>
      </c>
      <c r="J63" s="213"/>
    </row>
    <row r="64" spans="1:8" s="147" customFormat="1" ht="12.75">
      <c r="A64" s="360">
        <v>38018</v>
      </c>
      <c r="B64" s="155" t="s">
        <v>90</v>
      </c>
      <c r="C64" s="210">
        <v>38042</v>
      </c>
      <c r="D64" s="197">
        <v>37389.9</v>
      </c>
      <c r="E64" s="271">
        <f t="shared" si="6"/>
        <v>3108.9500000000044</v>
      </c>
      <c r="F64" s="211">
        <v>10.395</v>
      </c>
      <c r="G64" s="199">
        <f t="shared" si="7"/>
        <v>32317.535250000044</v>
      </c>
      <c r="H64" s="212">
        <f t="shared" si="3"/>
        <v>19390.521150000026</v>
      </c>
    </row>
    <row r="65" spans="1:8" s="147" customFormat="1" ht="12.75">
      <c r="A65" s="360">
        <v>38047</v>
      </c>
      <c r="B65" s="155" t="s">
        <v>90</v>
      </c>
      <c r="C65" s="210">
        <v>38069</v>
      </c>
      <c r="D65" s="197">
        <v>39522.44</v>
      </c>
      <c r="E65" s="271">
        <f t="shared" si="6"/>
        <v>2132.540000000001</v>
      </c>
      <c r="F65" s="211">
        <v>10.395</v>
      </c>
      <c r="G65" s="199">
        <f t="shared" si="7"/>
        <v>22167.753300000008</v>
      </c>
      <c r="H65" s="212">
        <f t="shared" si="3"/>
        <v>13300.651980000004</v>
      </c>
    </row>
    <row r="66" spans="1:8" s="147" customFormat="1" ht="12.75">
      <c r="A66" s="360">
        <v>38078</v>
      </c>
      <c r="B66" s="155" t="s">
        <v>90</v>
      </c>
      <c r="C66" s="210">
        <v>38104</v>
      </c>
      <c r="D66" s="197">
        <v>41758.2</v>
      </c>
      <c r="E66" s="271">
        <f>D66-D65</f>
        <v>2235.7599999999948</v>
      </c>
      <c r="F66" s="211">
        <v>10.395</v>
      </c>
      <c r="G66" s="199">
        <f>E66*F66</f>
        <v>23240.725199999946</v>
      </c>
      <c r="H66" s="212">
        <f t="shared" si="3"/>
        <v>13944.435119999967</v>
      </c>
    </row>
    <row r="67" spans="1:10" s="147" customFormat="1" ht="12.75">
      <c r="A67" s="360">
        <v>38108</v>
      </c>
      <c r="B67" s="155" t="s">
        <v>90</v>
      </c>
      <c r="C67" s="168">
        <v>38133</v>
      </c>
      <c r="D67" s="197">
        <v>43511</v>
      </c>
      <c r="E67" s="271">
        <f>D67-D66</f>
        <v>1752.800000000003</v>
      </c>
      <c r="F67" s="211">
        <v>10.395</v>
      </c>
      <c r="G67" s="199">
        <f>E67*F67</f>
        <v>18220.35600000003</v>
      </c>
      <c r="H67" s="212">
        <f t="shared" si="3"/>
        <v>10932.213600000017</v>
      </c>
      <c r="I67" s="97" t="s">
        <v>114</v>
      </c>
      <c r="J67" s="213" t="s">
        <v>118</v>
      </c>
    </row>
    <row r="68" spans="1:10" s="147" customFormat="1" ht="13.5" thickBot="1">
      <c r="A68" s="152">
        <v>38139</v>
      </c>
      <c r="B68" s="326" t="s">
        <v>90</v>
      </c>
      <c r="C68" s="173">
        <v>38161</v>
      </c>
      <c r="D68" s="201">
        <v>45269.2</v>
      </c>
      <c r="E68" s="271">
        <f>D68-D67</f>
        <v>1758.199999999997</v>
      </c>
      <c r="F68" s="277">
        <v>10.395</v>
      </c>
      <c r="G68" s="203">
        <f t="shared" si="7"/>
        <v>18276.48899999997</v>
      </c>
      <c r="H68" s="328">
        <f t="shared" si="3"/>
        <v>10965.89339999998</v>
      </c>
      <c r="I68" s="97">
        <f>SUM(E57:E68)</f>
        <v>29216.199999999997</v>
      </c>
      <c r="J68" s="448">
        <f>SUM(H57:H68)</f>
        <v>182221.43939999994</v>
      </c>
    </row>
    <row r="69" spans="1:10" s="147" customFormat="1" ht="12.75">
      <c r="A69" s="360">
        <v>38195</v>
      </c>
      <c r="B69" s="209" t="s">
        <v>90</v>
      </c>
      <c r="C69" s="168">
        <v>38195</v>
      </c>
      <c r="D69" s="169">
        <v>47694.7</v>
      </c>
      <c r="E69" s="389">
        <f>D69-D68</f>
        <v>2425.5</v>
      </c>
      <c r="F69" s="386">
        <v>11.1890625</v>
      </c>
      <c r="G69" s="195">
        <f>E69*F69</f>
        <v>27139.07109375</v>
      </c>
      <c r="H69" s="325">
        <f>G69*0.6</f>
        <v>16283.44265625</v>
      </c>
      <c r="J69" s="213"/>
    </row>
    <row r="70" spans="1:10" s="147" customFormat="1" ht="12.75">
      <c r="A70" s="360">
        <v>38200</v>
      </c>
      <c r="B70" s="209" t="s">
        <v>90</v>
      </c>
      <c r="C70" s="168">
        <v>38229</v>
      </c>
      <c r="D70" s="169">
        <v>50450.6</v>
      </c>
      <c r="E70" s="390">
        <f aca="true" t="shared" si="8" ref="E70:E83">D70-D69</f>
        <v>2755.9000000000015</v>
      </c>
      <c r="F70" s="387">
        <v>11.1890625</v>
      </c>
      <c r="G70" s="199">
        <f>E70*F70</f>
        <v>30835.937343750018</v>
      </c>
      <c r="H70" s="212">
        <f t="shared" si="3"/>
        <v>18501.56240625001</v>
      </c>
      <c r="J70" s="213"/>
    </row>
    <row r="71" spans="1:9" s="129" customFormat="1" ht="12.75">
      <c r="A71" s="360">
        <v>38231</v>
      </c>
      <c r="B71" s="155" t="s">
        <v>90</v>
      </c>
      <c r="C71" s="210">
        <v>38257</v>
      </c>
      <c r="D71" s="169">
        <v>52604.2</v>
      </c>
      <c r="E71" s="390">
        <f t="shared" si="8"/>
        <v>2153.5999999999985</v>
      </c>
      <c r="F71" s="387">
        <v>11.1890625</v>
      </c>
      <c r="G71" s="199">
        <f aca="true" t="shared" si="9" ref="G71:G80">E71*F71</f>
        <v>24096.764999999985</v>
      </c>
      <c r="H71" s="212">
        <f t="shared" si="3"/>
        <v>14458.05899999999</v>
      </c>
      <c r="I71" s="147"/>
    </row>
    <row r="72" spans="1:9" s="129" customFormat="1" ht="12.75">
      <c r="A72" s="360">
        <v>38261</v>
      </c>
      <c r="B72" s="155" t="s">
        <v>90</v>
      </c>
      <c r="C72" s="210">
        <v>38288</v>
      </c>
      <c r="D72" s="169">
        <v>54559</v>
      </c>
      <c r="E72" s="390">
        <f t="shared" si="8"/>
        <v>1954.800000000003</v>
      </c>
      <c r="F72" s="387">
        <v>11.1890625</v>
      </c>
      <c r="G72" s="199">
        <f t="shared" si="9"/>
        <v>21872.379375000033</v>
      </c>
      <c r="H72" s="212">
        <f t="shared" si="3"/>
        <v>13123.42762500002</v>
      </c>
      <c r="I72" s="147"/>
    </row>
    <row r="73" spans="1:9" s="129" customFormat="1" ht="12.75">
      <c r="A73" s="360">
        <v>38292</v>
      </c>
      <c r="B73" s="155" t="s">
        <v>90</v>
      </c>
      <c r="C73" s="210">
        <v>38320</v>
      </c>
      <c r="D73" s="169">
        <v>56716.3</v>
      </c>
      <c r="E73" s="390">
        <f t="shared" si="8"/>
        <v>2157.300000000003</v>
      </c>
      <c r="F73" s="387">
        <v>11.1890625</v>
      </c>
      <c r="G73" s="199">
        <f t="shared" si="9"/>
        <v>24138.164531250033</v>
      </c>
      <c r="H73" s="212">
        <f t="shared" si="3"/>
        <v>14482.898718750019</v>
      </c>
      <c r="I73" s="147"/>
    </row>
    <row r="74" spans="1:9" s="129" customFormat="1" ht="12.75">
      <c r="A74" s="360">
        <v>38322</v>
      </c>
      <c r="B74" s="155" t="s">
        <v>90</v>
      </c>
      <c r="C74" s="210">
        <v>38355</v>
      </c>
      <c r="D74" s="169">
        <v>59780</v>
      </c>
      <c r="E74" s="390">
        <f t="shared" si="8"/>
        <v>3063.699999999997</v>
      </c>
      <c r="F74" s="387">
        <v>11.1890625</v>
      </c>
      <c r="G74" s="199">
        <f t="shared" si="9"/>
        <v>34279.93078124997</v>
      </c>
      <c r="H74" s="212">
        <f t="shared" si="3"/>
        <v>20567.95846874998</v>
      </c>
      <c r="I74" s="147"/>
    </row>
    <row r="75" spans="1:9" s="129" customFormat="1" ht="12.75">
      <c r="A75" s="360">
        <v>38353</v>
      </c>
      <c r="B75" s="155" t="s">
        <v>90</v>
      </c>
      <c r="C75" s="210">
        <v>38383</v>
      </c>
      <c r="D75" s="169">
        <v>62695.9</v>
      </c>
      <c r="E75" s="390">
        <f t="shared" si="8"/>
        <v>2915.9000000000015</v>
      </c>
      <c r="F75" s="387">
        <v>11.1890625</v>
      </c>
      <c r="G75" s="199">
        <f t="shared" si="9"/>
        <v>32626.187343750018</v>
      </c>
      <c r="H75" s="212">
        <f t="shared" si="3"/>
        <v>19575.71240625001</v>
      </c>
      <c r="I75" s="147"/>
    </row>
    <row r="76" spans="1:9" s="129" customFormat="1" ht="12.75">
      <c r="A76" s="360">
        <v>38384</v>
      </c>
      <c r="B76" s="155" t="s">
        <v>90</v>
      </c>
      <c r="C76" s="210">
        <v>38411</v>
      </c>
      <c r="D76" s="169">
        <v>65620.9</v>
      </c>
      <c r="E76" s="390">
        <f t="shared" si="8"/>
        <v>2924.9999999999927</v>
      </c>
      <c r="F76" s="387">
        <v>11.1890625</v>
      </c>
      <c r="G76" s="199">
        <f t="shared" si="9"/>
        <v>32728.00781249992</v>
      </c>
      <c r="H76" s="212">
        <f t="shared" si="3"/>
        <v>19636.804687499953</v>
      </c>
      <c r="I76" s="147"/>
    </row>
    <row r="77" spans="1:9" s="129" customFormat="1" ht="12.75">
      <c r="A77" s="360">
        <v>38412</v>
      </c>
      <c r="B77" s="155" t="s">
        <v>90</v>
      </c>
      <c r="C77" s="210">
        <v>38433</v>
      </c>
      <c r="D77" s="169">
        <v>67877.4</v>
      </c>
      <c r="E77" s="390">
        <f t="shared" si="8"/>
        <v>2256.5</v>
      </c>
      <c r="F77" s="387">
        <v>11.1890625</v>
      </c>
      <c r="G77" s="199">
        <f t="shared" si="9"/>
        <v>25248.119531250002</v>
      </c>
      <c r="H77" s="212">
        <f t="shared" si="3"/>
        <v>15148.87171875</v>
      </c>
      <c r="I77" s="147"/>
    </row>
    <row r="78" spans="1:9" s="329" customFormat="1" ht="12.75">
      <c r="A78" s="360">
        <v>38443</v>
      </c>
      <c r="B78" s="155" t="s">
        <v>90</v>
      </c>
      <c r="C78" s="210">
        <v>38468</v>
      </c>
      <c r="D78" s="169">
        <v>69980.4</v>
      </c>
      <c r="E78" s="390">
        <f t="shared" si="8"/>
        <v>2103</v>
      </c>
      <c r="F78" s="387">
        <v>11.1890625</v>
      </c>
      <c r="G78" s="199">
        <f t="shared" si="9"/>
        <v>23530.5984375</v>
      </c>
      <c r="H78" s="212">
        <f t="shared" si="3"/>
        <v>14118.3590625</v>
      </c>
      <c r="I78" s="154"/>
    </row>
    <row r="79" spans="1:10" s="154" customFormat="1" ht="12.75">
      <c r="A79" s="360">
        <v>38473</v>
      </c>
      <c r="B79" s="155" t="s">
        <v>90</v>
      </c>
      <c r="C79" s="210">
        <v>38498</v>
      </c>
      <c r="D79" s="169">
        <v>71230.2</v>
      </c>
      <c r="E79" s="390">
        <f t="shared" si="8"/>
        <v>1249.800000000003</v>
      </c>
      <c r="F79" s="387">
        <v>11.1890625</v>
      </c>
      <c r="G79" s="199">
        <f t="shared" si="9"/>
        <v>13984.090312500033</v>
      </c>
      <c r="H79" s="212">
        <f t="shared" si="3"/>
        <v>8390.45418750002</v>
      </c>
      <c r="I79" s="97" t="s">
        <v>114</v>
      </c>
      <c r="J79" s="213" t="s">
        <v>116</v>
      </c>
    </row>
    <row r="80" spans="1:10" s="154" customFormat="1" ht="13.5" thickBot="1">
      <c r="A80" s="152">
        <v>38504</v>
      </c>
      <c r="B80" s="326" t="s">
        <v>90</v>
      </c>
      <c r="C80" s="173">
        <v>38530</v>
      </c>
      <c r="D80" s="174">
        <v>72566.6</v>
      </c>
      <c r="E80" s="327">
        <f t="shared" si="8"/>
        <v>1336.4000000000087</v>
      </c>
      <c r="F80" s="391">
        <v>11.1890625</v>
      </c>
      <c r="G80" s="203">
        <f t="shared" si="9"/>
        <v>14953.063125000099</v>
      </c>
      <c r="H80" s="328">
        <f t="shared" si="3"/>
        <v>8971.83787500006</v>
      </c>
      <c r="I80" s="97">
        <f>SUM(E69:E80)</f>
        <v>27297.40000000001</v>
      </c>
      <c r="J80" s="448">
        <f>SUM(H69:H80)</f>
        <v>183259.38881250005</v>
      </c>
    </row>
    <row r="81" spans="1:10" s="147" customFormat="1" ht="12.75">
      <c r="A81" s="149">
        <v>38534</v>
      </c>
      <c r="B81" s="322" t="s">
        <v>90</v>
      </c>
      <c r="C81" s="113">
        <v>38561</v>
      </c>
      <c r="D81" s="204">
        <v>73842.3</v>
      </c>
      <c r="E81" s="389">
        <f t="shared" si="8"/>
        <v>1275.699999999997</v>
      </c>
      <c r="F81" s="386">
        <v>11.918156249999997</v>
      </c>
      <c r="G81" s="195">
        <f>E81*F81</f>
        <v>15203.991928124962</v>
      </c>
      <c r="H81" s="325">
        <f>G81*0.6</f>
        <v>9122.395156874976</v>
      </c>
      <c r="J81" s="213"/>
    </row>
    <row r="82" spans="1:10" s="147" customFormat="1" ht="12.75">
      <c r="A82" s="360">
        <v>38565</v>
      </c>
      <c r="B82" s="209" t="s">
        <v>90</v>
      </c>
      <c r="C82" s="168">
        <v>38593</v>
      </c>
      <c r="D82" s="169">
        <v>76905.1</v>
      </c>
      <c r="E82" s="390">
        <f t="shared" si="8"/>
        <v>3062.800000000003</v>
      </c>
      <c r="F82" s="387">
        <v>11.918156249999997</v>
      </c>
      <c r="G82" s="199">
        <f>E82*F82</f>
        <v>36502.928962500024</v>
      </c>
      <c r="H82" s="212">
        <f t="shared" si="3"/>
        <v>21901.757377500013</v>
      </c>
      <c r="J82" s="213"/>
    </row>
    <row r="83" spans="1:10" s="147" customFormat="1" ht="12.75">
      <c r="A83" s="360">
        <v>38596</v>
      </c>
      <c r="B83" s="209" t="s">
        <v>90</v>
      </c>
      <c r="C83" s="168">
        <v>38623</v>
      </c>
      <c r="D83" s="169">
        <v>79281.2</v>
      </c>
      <c r="E83" s="390">
        <f t="shared" si="8"/>
        <v>2376.0999999999913</v>
      </c>
      <c r="F83" s="387">
        <v>11.918156249999997</v>
      </c>
      <c r="G83" s="199">
        <f>E83*F83</f>
        <v>28318.73106562489</v>
      </c>
      <c r="H83" s="212">
        <f>G83*0.6</f>
        <v>16991.238639374933</v>
      </c>
      <c r="J83" s="213"/>
    </row>
    <row r="84" spans="1:10" s="147" customFormat="1" ht="12.75">
      <c r="A84" s="360">
        <v>38626</v>
      </c>
      <c r="B84" s="209" t="s">
        <v>90</v>
      </c>
      <c r="C84" s="210">
        <v>38652</v>
      </c>
      <c r="D84" s="169">
        <v>80781.3</v>
      </c>
      <c r="E84" s="390">
        <f>IF(D84="","",D84-D83)</f>
        <v>1500.1000000000058</v>
      </c>
      <c r="F84" s="387">
        <v>11.918156249999997</v>
      </c>
      <c r="G84" s="199">
        <f>IF(E84="","",E84*F84)</f>
        <v>17878.426190625065</v>
      </c>
      <c r="H84" s="212">
        <f>IF(G84="","",G84*0.6)</f>
        <v>10727.05571437504</v>
      </c>
      <c r="I84" s="97"/>
      <c r="J84" s="213"/>
    </row>
    <row r="85" spans="1:10" s="147" customFormat="1" ht="12.75">
      <c r="A85" s="360">
        <v>38657</v>
      </c>
      <c r="B85" s="209" t="s">
        <v>90</v>
      </c>
      <c r="C85" s="210">
        <v>38679</v>
      </c>
      <c r="D85" s="169">
        <v>82447.1</v>
      </c>
      <c r="E85" s="390">
        <f aca="true" t="shared" si="10" ref="E85:E90">IF(D85="","",D85-D84)</f>
        <v>1665.800000000003</v>
      </c>
      <c r="F85" s="387">
        <v>11.918156249999997</v>
      </c>
      <c r="G85" s="199">
        <f aca="true" t="shared" si="11" ref="G85:G92">IF(E85="","",E85*F85)</f>
        <v>19853.26468125003</v>
      </c>
      <c r="H85" s="212">
        <f aca="true" t="shared" si="12" ref="H85:H92">IF(G85="","",G85*0.6)</f>
        <v>11911.958808750018</v>
      </c>
      <c r="I85" s="97"/>
      <c r="J85" s="213"/>
    </row>
    <row r="86" spans="1:10" s="147" customFormat="1" ht="12.75">
      <c r="A86" s="360">
        <v>38687</v>
      </c>
      <c r="B86" s="209" t="s">
        <v>90</v>
      </c>
      <c r="C86" s="210">
        <v>38701</v>
      </c>
      <c r="D86" s="169">
        <v>84561.4</v>
      </c>
      <c r="E86" s="390">
        <f t="shared" si="10"/>
        <v>2114.2999999999884</v>
      </c>
      <c r="F86" s="387">
        <v>11.918156249999997</v>
      </c>
      <c r="G86" s="199">
        <f t="shared" si="11"/>
        <v>25198.557759374857</v>
      </c>
      <c r="H86" s="212">
        <f t="shared" si="12"/>
        <v>15119.134655624914</v>
      </c>
      <c r="I86" s="97"/>
      <c r="J86" s="213"/>
    </row>
    <row r="87" spans="1:10" s="147" customFormat="1" ht="12.75">
      <c r="A87" s="360">
        <v>38718</v>
      </c>
      <c r="B87" s="209" t="s">
        <v>90</v>
      </c>
      <c r="C87" s="210">
        <v>38736</v>
      </c>
      <c r="D87" s="169">
        <v>87890</v>
      </c>
      <c r="E87" s="390">
        <f t="shared" si="10"/>
        <v>3328.600000000006</v>
      </c>
      <c r="F87" s="387">
        <v>11.918156249999997</v>
      </c>
      <c r="G87" s="199">
        <f t="shared" si="11"/>
        <v>39670.77489375006</v>
      </c>
      <c r="H87" s="212">
        <f t="shared" si="12"/>
        <v>23802.464936250035</v>
      </c>
      <c r="I87" s="97"/>
      <c r="J87" s="213"/>
    </row>
    <row r="88" spans="1:10" s="147" customFormat="1" ht="12.75">
      <c r="A88" s="360">
        <v>38749</v>
      </c>
      <c r="B88" s="209" t="s">
        <v>90</v>
      </c>
      <c r="C88" s="210">
        <v>38765</v>
      </c>
      <c r="D88" s="169">
        <v>90813.5</v>
      </c>
      <c r="E88" s="390">
        <f t="shared" si="10"/>
        <v>2923.5</v>
      </c>
      <c r="F88" s="387">
        <v>11.918156249999997</v>
      </c>
      <c r="G88" s="199">
        <f t="shared" si="11"/>
        <v>34842.72979687499</v>
      </c>
      <c r="H88" s="212">
        <f t="shared" si="12"/>
        <v>20905.637878124995</v>
      </c>
      <c r="I88" s="97"/>
      <c r="J88" s="213"/>
    </row>
    <row r="89" spans="1:10" s="147" customFormat="1" ht="12.75">
      <c r="A89" s="360">
        <v>38777</v>
      </c>
      <c r="B89" s="209" t="s">
        <v>90</v>
      </c>
      <c r="C89" s="210">
        <v>38791</v>
      </c>
      <c r="D89" s="169">
        <v>93014.5</v>
      </c>
      <c r="E89" s="390">
        <f t="shared" si="10"/>
        <v>2201</v>
      </c>
      <c r="F89" s="387">
        <v>11.918156249999997</v>
      </c>
      <c r="G89" s="199">
        <f t="shared" si="11"/>
        <v>26231.861906249993</v>
      </c>
      <c r="H89" s="212">
        <f t="shared" si="12"/>
        <v>15739.117143749994</v>
      </c>
      <c r="I89" s="97"/>
      <c r="J89" s="213"/>
    </row>
    <row r="90" spans="1:10" s="147" customFormat="1" ht="12.75">
      <c r="A90" s="360">
        <v>38808</v>
      </c>
      <c r="B90" s="209" t="s">
        <v>90</v>
      </c>
      <c r="C90" s="210">
        <v>38824</v>
      </c>
      <c r="D90" s="169">
        <v>95032.7</v>
      </c>
      <c r="E90" s="390">
        <f t="shared" si="10"/>
        <v>2018.199999999997</v>
      </c>
      <c r="F90" s="387">
        <v>11.918156249999997</v>
      </c>
      <c r="G90" s="199">
        <f t="shared" si="11"/>
        <v>24053.22294374996</v>
      </c>
      <c r="H90" s="212">
        <f t="shared" si="12"/>
        <v>14431.933766249975</v>
      </c>
      <c r="I90" s="97"/>
      <c r="J90" s="213"/>
    </row>
    <row r="91" spans="1:10" s="147" customFormat="1" ht="12.75">
      <c r="A91" s="360">
        <v>38838</v>
      </c>
      <c r="B91" s="209" t="s">
        <v>90</v>
      </c>
      <c r="C91" s="210">
        <v>38856</v>
      </c>
      <c r="D91" s="169">
        <v>95953.8</v>
      </c>
      <c r="E91" s="439">
        <v>1016.5596640365357</v>
      </c>
      <c r="F91" s="387">
        <v>11.918156249999997</v>
      </c>
      <c r="G91" s="199">
        <f t="shared" si="11"/>
        <v>12115.516913434934</v>
      </c>
      <c r="H91" s="212">
        <f t="shared" si="12"/>
        <v>7269.31014806096</v>
      </c>
      <c r="I91" s="97" t="s">
        <v>114</v>
      </c>
      <c r="J91" s="213" t="s">
        <v>117</v>
      </c>
    </row>
    <row r="92" spans="1:10" s="147" customFormat="1" ht="13.5" thickBot="1">
      <c r="A92" s="152">
        <v>38869</v>
      </c>
      <c r="B92" s="326" t="s">
        <v>90</v>
      </c>
      <c r="C92" s="173">
        <v>38882</v>
      </c>
      <c r="D92" s="174">
        <v>96569.1</v>
      </c>
      <c r="E92" s="440">
        <v>1084.023942612962</v>
      </c>
      <c r="F92" s="391">
        <v>11.918156249999997</v>
      </c>
      <c r="G92" s="203">
        <f t="shared" si="11"/>
        <v>12919.566726802312</v>
      </c>
      <c r="H92" s="328">
        <f t="shared" si="12"/>
        <v>7751.740036081386</v>
      </c>
      <c r="I92" s="97">
        <f>SUM(E81:E92)</f>
        <v>24566.68360664949</v>
      </c>
      <c r="J92" s="448">
        <f>SUM(H81:H92)</f>
        <v>175673.74426101724</v>
      </c>
    </row>
    <row r="93" spans="1:10" s="147" customFormat="1" ht="12.75">
      <c r="A93" s="149">
        <v>38899</v>
      </c>
      <c r="B93" s="322" t="s">
        <v>90</v>
      </c>
      <c r="C93" s="113">
        <v>38915</v>
      </c>
      <c r="D93" s="204">
        <v>98700.11</v>
      </c>
      <c r="E93" s="389">
        <f aca="true" t="shared" si="13" ref="E93:E104">D93-D92</f>
        <v>2131.0099999999948</v>
      </c>
      <c r="F93" s="386">
        <v>16.27828125</v>
      </c>
      <c r="G93" s="195">
        <f>E93*F93</f>
        <v>34689.180126562416</v>
      </c>
      <c r="H93" s="325">
        <f>G93*0.6</f>
        <v>20813.50807593745</v>
      </c>
      <c r="I93" s="534">
        <f>(I92-I80)/I80</f>
        <v>-0.10003576873074055</v>
      </c>
      <c r="J93" s="213"/>
    </row>
    <row r="94" spans="1:10" s="147" customFormat="1" ht="12.75">
      <c r="A94" s="360">
        <v>38930</v>
      </c>
      <c r="B94" s="209" t="s">
        <v>90</v>
      </c>
      <c r="C94" s="168">
        <v>38944</v>
      </c>
      <c r="D94" s="169">
        <v>100655.75</v>
      </c>
      <c r="E94" s="390">
        <f t="shared" si="13"/>
        <v>1955.6399999999994</v>
      </c>
      <c r="F94" s="387">
        <v>16.27828125</v>
      </c>
      <c r="G94" s="199">
        <f>E94*F94</f>
        <v>31834.45794374999</v>
      </c>
      <c r="H94" s="212">
        <f>G94*0.6</f>
        <v>19100.67476624999</v>
      </c>
      <c r="J94" s="213"/>
    </row>
    <row r="95" spans="1:10" s="147" customFormat="1" ht="12.75">
      <c r="A95" s="360">
        <v>38961</v>
      </c>
      <c r="B95" s="209" t="s">
        <v>90</v>
      </c>
      <c r="C95" s="168">
        <v>38975</v>
      </c>
      <c r="D95" s="169">
        <v>103378.75</v>
      </c>
      <c r="E95" s="390">
        <f t="shared" si="13"/>
        <v>2723</v>
      </c>
      <c r="F95" s="387">
        <v>16.27828125</v>
      </c>
      <c r="G95" s="199">
        <f>E95*F95</f>
        <v>44325.75984375</v>
      </c>
      <c r="H95" s="212">
        <f>G95*0.6</f>
        <v>26595.455906249997</v>
      </c>
      <c r="J95" s="213"/>
    </row>
    <row r="96" spans="1:10" s="147" customFormat="1" ht="12.75">
      <c r="A96" s="360">
        <v>38991</v>
      </c>
      <c r="B96" s="209" t="s">
        <v>90</v>
      </c>
      <c r="C96" s="168">
        <v>39003</v>
      </c>
      <c r="D96" s="169">
        <v>105418.22</v>
      </c>
      <c r="E96" s="390">
        <f t="shared" si="13"/>
        <v>2039.4700000000012</v>
      </c>
      <c r="F96" s="387">
        <v>16.27828125</v>
      </c>
      <c r="G96" s="199">
        <f>IF(E96="","",E96*F96)</f>
        <v>33199.066260937514</v>
      </c>
      <c r="H96" s="212">
        <f>IF(G96="","",G96*0.6)</f>
        <v>19919.439756562508</v>
      </c>
      <c r="I96" s="97"/>
      <c r="J96" s="213"/>
    </row>
    <row r="97" spans="1:10" s="147" customFormat="1" ht="12.75">
      <c r="A97" s="360">
        <v>39022</v>
      </c>
      <c r="B97" s="209" t="s">
        <v>90</v>
      </c>
      <c r="C97" s="168">
        <v>39036</v>
      </c>
      <c r="D97" s="169">
        <v>107950.34</v>
      </c>
      <c r="E97" s="390">
        <f t="shared" si="13"/>
        <v>2532.1199999999953</v>
      </c>
      <c r="F97" s="387">
        <v>16.27828125</v>
      </c>
      <c r="G97" s="199">
        <f aca="true" t="shared" si="14" ref="G97:G104">IF(E97="","",E97*F97)</f>
        <v>41218.56151874992</v>
      </c>
      <c r="H97" s="212">
        <f aca="true" t="shared" si="15" ref="H97:H104">IF(G97="","",G97*0.6)</f>
        <v>24731.136911249952</v>
      </c>
      <c r="I97" s="97"/>
      <c r="J97" s="213"/>
    </row>
    <row r="98" spans="1:10" s="147" customFormat="1" ht="12.75">
      <c r="A98" s="360">
        <v>39052</v>
      </c>
      <c r="B98" s="209" t="s">
        <v>90</v>
      </c>
      <c r="C98" s="168">
        <v>39065</v>
      </c>
      <c r="D98" s="169">
        <v>110808.31</v>
      </c>
      <c r="E98" s="390">
        <f t="shared" si="13"/>
        <v>2857.970000000001</v>
      </c>
      <c r="F98" s="387">
        <v>16.27828125</v>
      </c>
      <c r="G98" s="199">
        <f t="shared" si="14"/>
        <v>46522.83946406252</v>
      </c>
      <c r="H98" s="212">
        <f t="shared" si="15"/>
        <v>27913.703678437512</v>
      </c>
      <c r="I98" s="97"/>
      <c r="J98" s="213"/>
    </row>
    <row r="99" spans="1:10" s="147" customFormat="1" ht="12.75">
      <c r="A99" s="360">
        <v>39083</v>
      </c>
      <c r="B99" s="209" t="s">
        <v>90</v>
      </c>
      <c r="C99" s="210">
        <v>39097</v>
      </c>
      <c r="D99" s="169">
        <v>113421.48</v>
      </c>
      <c r="E99" s="390">
        <f t="shared" si="13"/>
        <v>2613.1699999999983</v>
      </c>
      <c r="F99" s="387">
        <v>16.27828125</v>
      </c>
      <c r="G99" s="199">
        <f t="shared" si="14"/>
        <v>42537.91621406247</v>
      </c>
      <c r="H99" s="212">
        <f t="shared" si="15"/>
        <v>25522.74972843748</v>
      </c>
      <c r="I99" s="97"/>
      <c r="J99" s="213"/>
    </row>
    <row r="100" spans="1:10" s="147" customFormat="1" ht="12.75">
      <c r="A100" s="360">
        <v>39114</v>
      </c>
      <c r="B100" s="209" t="s">
        <v>90</v>
      </c>
      <c r="C100" s="210">
        <v>39128</v>
      </c>
      <c r="D100" s="169">
        <v>118114.15</v>
      </c>
      <c r="E100" s="390">
        <f t="shared" si="13"/>
        <v>4692.669999999998</v>
      </c>
      <c r="F100" s="387">
        <v>16.27828125</v>
      </c>
      <c r="G100" s="199">
        <f t="shared" si="14"/>
        <v>76388.60207343746</v>
      </c>
      <c r="H100" s="212">
        <f t="shared" si="15"/>
        <v>45833.161244062474</v>
      </c>
      <c r="I100" s="97"/>
      <c r="J100" s="213"/>
    </row>
    <row r="101" spans="1:12" s="147" customFormat="1" ht="12.75">
      <c r="A101" s="360">
        <v>39142</v>
      </c>
      <c r="B101" s="209" t="s">
        <v>90</v>
      </c>
      <c r="C101" s="210">
        <v>39156</v>
      </c>
      <c r="D101" s="169">
        <v>121672.76</v>
      </c>
      <c r="E101" s="390">
        <f t="shared" si="13"/>
        <v>3558.6100000000006</v>
      </c>
      <c r="F101" s="387">
        <v>16.27828125</v>
      </c>
      <c r="G101" s="199">
        <f t="shared" si="14"/>
        <v>57928.05443906251</v>
      </c>
      <c r="H101" s="212">
        <f t="shared" si="15"/>
        <v>34756.832663437504</v>
      </c>
      <c r="I101" s="97"/>
      <c r="J101" s="213"/>
      <c r="L101" s="97"/>
    </row>
    <row r="102" spans="1:12" s="147" customFormat="1" ht="12.75">
      <c r="A102" s="360">
        <v>39173</v>
      </c>
      <c r="B102" s="209" t="s">
        <v>90</v>
      </c>
      <c r="C102" s="168">
        <v>39188</v>
      </c>
      <c r="D102" s="459">
        <f>(D103-D101)/2+D101</f>
        <v>124336.17</v>
      </c>
      <c r="E102" s="390">
        <f t="shared" si="13"/>
        <v>2663.4100000000035</v>
      </c>
      <c r="F102" s="387">
        <v>16.27828125</v>
      </c>
      <c r="G102" s="199">
        <f t="shared" si="14"/>
        <v>43355.73706406255</v>
      </c>
      <c r="H102" s="212">
        <f t="shared" si="15"/>
        <v>26013.442238437532</v>
      </c>
      <c r="I102" s="97"/>
      <c r="J102" s="213"/>
      <c r="L102" s="97"/>
    </row>
    <row r="103" spans="1:12" s="147" customFormat="1" ht="12.75">
      <c r="A103" s="360">
        <v>39203</v>
      </c>
      <c r="B103" s="209" t="s">
        <v>90</v>
      </c>
      <c r="C103" s="168">
        <v>39219</v>
      </c>
      <c r="D103" s="169">
        <v>126999.58</v>
      </c>
      <c r="E103" s="390">
        <f t="shared" si="13"/>
        <v>2663.4100000000035</v>
      </c>
      <c r="F103" s="387">
        <v>16.27828125</v>
      </c>
      <c r="G103" s="199">
        <f t="shared" si="14"/>
        <v>43355.73706406255</v>
      </c>
      <c r="H103" s="212">
        <f t="shared" si="15"/>
        <v>26013.442238437532</v>
      </c>
      <c r="I103" s="97" t="s">
        <v>114</v>
      </c>
      <c r="J103" s="213" t="s">
        <v>115</v>
      </c>
      <c r="L103" s="97"/>
    </row>
    <row r="104" spans="1:12" s="147" customFormat="1" ht="13.5" thickBot="1">
      <c r="A104" s="152">
        <v>39234</v>
      </c>
      <c r="B104" s="326" t="s">
        <v>90</v>
      </c>
      <c r="C104" s="173">
        <v>39246</v>
      </c>
      <c r="D104" s="174">
        <v>129251.9</v>
      </c>
      <c r="E104" s="390">
        <f t="shared" si="13"/>
        <v>2252.3199999999924</v>
      </c>
      <c r="F104" s="391">
        <v>16.27828125</v>
      </c>
      <c r="G104" s="203">
        <f t="shared" si="14"/>
        <v>36663.898424999876</v>
      </c>
      <c r="H104" s="328">
        <f t="shared" si="15"/>
        <v>21998.339054999924</v>
      </c>
      <c r="I104" s="97">
        <f>SUM(E93:E104)</f>
        <v>32682.79999999999</v>
      </c>
      <c r="J104" s="447">
        <f>SUM(H93:H104)</f>
        <v>319211.88626249984</v>
      </c>
      <c r="L104" s="97"/>
    </row>
    <row r="105" spans="1:12" s="147" customFormat="1" ht="12.75">
      <c r="A105" s="149">
        <v>39264</v>
      </c>
      <c r="B105" s="322" t="s">
        <v>90</v>
      </c>
      <c r="C105" s="113">
        <v>39280</v>
      </c>
      <c r="D105" s="204">
        <v>131336.14</v>
      </c>
      <c r="E105" s="389">
        <f aca="true" t="shared" si="16" ref="E105:E111">D105-D104</f>
        <v>2084.24000000002</v>
      </c>
      <c r="F105" s="195">
        <v>18.29953125</v>
      </c>
      <c r="G105" s="195">
        <f>E105*F105</f>
        <v>38140.61501250036</v>
      </c>
      <c r="H105" s="325">
        <f>G105*0.6</f>
        <v>22884.369007500216</v>
      </c>
      <c r="I105" s="534">
        <f>(I104-I92)/I92</f>
        <v>0.3303708601169797</v>
      </c>
      <c r="J105" s="213"/>
      <c r="L105" s="97"/>
    </row>
    <row r="106" spans="1:10" s="147" customFormat="1" ht="12.75">
      <c r="A106" s="360">
        <v>39295</v>
      </c>
      <c r="B106" s="209" t="s">
        <v>90</v>
      </c>
      <c r="C106" s="168">
        <v>39309</v>
      </c>
      <c r="D106" s="459">
        <f>(D107-D105)/2+D105</f>
        <v>133873.175</v>
      </c>
      <c r="E106" s="439">
        <f>D106-D105</f>
        <v>2537.0349999999744</v>
      </c>
      <c r="F106" s="199">
        <v>18.29953125</v>
      </c>
      <c r="G106" s="199">
        <f>E106*F106</f>
        <v>46426.551264843285</v>
      </c>
      <c r="H106" s="212">
        <f>G106*0.6</f>
        <v>27855.93075890597</v>
      </c>
      <c r="J106" s="213"/>
    </row>
    <row r="107" spans="1:10" s="147" customFormat="1" ht="12.75">
      <c r="A107" s="360">
        <v>39326</v>
      </c>
      <c r="B107" s="209" t="s">
        <v>90</v>
      </c>
      <c r="C107" s="168">
        <v>39344</v>
      </c>
      <c r="D107" s="169">
        <v>136410.21</v>
      </c>
      <c r="E107" s="390">
        <f t="shared" si="16"/>
        <v>2537.0350000000035</v>
      </c>
      <c r="F107" s="199">
        <v>18.29953125</v>
      </c>
      <c r="G107" s="199">
        <f>E107*F107</f>
        <v>46426.551264843816</v>
      </c>
      <c r="H107" s="212">
        <f>G107*0.6</f>
        <v>27855.93075890629</v>
      </c>
      <c r="J107" s="213"/>
    </row>
    <row r="108" spans="1:10" s="147" customFormat="1" ht="12.75">
      <c r="A108" s="360">
        <v>39356</v>
      </c>
      <c r="B108" s="209" t="s">
        <v>90</v>
      </c>
      <c r="C108" s="497">
        <v>39370</v>
      </c>
      <c r="D108" s="25">
        <v>140090.45</v>
      </c>
      <c r="E108" s="390">
        <f t="shared" si="16"/>
        <v>3680.24000000002</v>
      </c>
      <c r="F108" s="199">
        <v>18.29953125</v>
      </c>
      <c r="G108" s="199">
        <f>IF(E108="","",E108*F108)</f>
        <v>67346.66688750037</v>
      </c>
      <c r="H108" s="212">
        <f>IF(G108="","",G108*0.6)</f>
        <v>40408.000132500216</v>
      </c>
      <c r="I108" s="97"/>
      <c r="J108" s="213"/>
    </row>
    <row r="109" spans="1:10" s="147" customFormat="1" ht="12.75">
      <c r="A109" s="360">
        <v>39387</v>
      </c>
      <c r="B109" s="209" t="s">
        <v>90</v>
      </c>
      <c r="C109" s="168">
        <v>39401</v>
      </c>
      <c r="D109" s="169">
        <v>143211</v>
      </c>
      <c r="E109" s="390">
        <f t="shared" si="16"/>
        <v>3120.5499999999884</v>
      </c>
      <c r="F109" s="199">
        <v>18.29953125</v>
      </c>
      <c r="G109" s="199">
        <f aca="true" t="shared" si="17" ref="G109:G114">IF(E109="","",E109*F109)</f>
        <v>57104.60224218729</v>
      </c>
      <c r="H109" s="212">
        <f aca="true" t="shared" si="18" ref="H109:H116">IF(G109="","",G109*0.6)</f>
        <v>34262.76134531237</v>
      </c>
      <c r="I109" s="97"/>
      <c r="J109" s="213"/>
    </row>
    <row r="110" spans="1:10" s="147" customFormat="1" ht="12.75">
      <c r="A110" s="360">
        <v>39417</v>
      </c>
      <c r="B110" s="209" t="s">
        <v>90</v>
      </c>
      <c r="C110" s="168">
        <v>39430</v>
      </c>
      <c r="D110" s="169">
        <v>147455.36</v>
      </c>
      <c r="E110" s="390">
        <f t="shared" si="16"/>
        <v>4244.359999999986</v>
      </c>
      <c r="F110" s="199">
        <v>18.29953125</v>
      </c>
      <c r="G110" s="199">
        <f t="shared" si="17"/>
        <v>77669.79845624974</v>
      </c>
      <c r="H110" s="212">
        <f t="shared" si="18"/>
        <v>46601.87907374984</v>
      </c>
      <c r="I110" s="97"/>
      <c r="J110" s="213"/>
    </row>
    <row r="111" spans="1:10" s="147" customFormat="1" ht="12.75">
      <c r="A111" s="360">
        <v>39448</v>
      </c>
      <c r="B111" s="209" t="s">
        <v>90</v>
      </c>
      <c r="C111" s="210">
        <v>39461</v>
      </c>
      <c r="D111" s="169">
        <v>151996.4</v>
      </c>
      <c r="E111" s="390">
        <f t="shared" si="16"/>
        <v>4541.040000000008</v>
      </c>
      <c r="F111" s="199">
        <v>18.29953125</v>
      </c>
      <c r="G111" s="199">
        <f t="shared" si="17"/>
        <v>83098.90338750015</v>
      </c>
      <c r="H111" s="212">
        <f t="shared" si="18"/>
        <v>49859.342032500084</v>
      </c>
      <c r="I111" s="97"/>
      <c r="J111" s="213"/>
    </row>
    <row r="112" spans="1:10" s="147" customFormat="1" ht="12.75">
      <c r="A112" s="360">
        <v>39479</v>
      </c>
      <c r="B112" s="209" t="s">
        <v>90</v>
      </c>
      <c r="C112" s="168">
        <v>39492</v>
      </c>
      <c r="D112" s="169">
        <v>156634.87</v>
      </c>
      <c r="E112" s="390">
        <f aca="true" t="shared" si="19" ref="E112:E126">D112-D111</f>
        <v>4638.470000000001</v>
      </c>
      <c r="F112" s="199">
        <v>18.29953125</v>
      </c>
      <c r="G112" s="199">
        <f>IF(E112="","",E112*F112)</f>
        <v>84881.82671718752</v>
      </c>
      <c r="H112" s="212">
        <f>IF(G112="","",G112*0.6)</f>
        <v>50929.09603031251</v>
      </c>
      <c r="I112" s="97"/>
      <c r="J112" s="213"/>
    </row>
    <row r="113" spans="1:10" s="147" customFormat="1" ht="12.75">
      <c r="A113" s="360">
        <v>39508</v>
      </c>
      <c r="B113" s="209" t="s">
        <v>90</v>
      </c>
      <c r="C113" s="210">
        <v>39524</v>
      </c>
      <c r="D113" s="169">
        <v>160876.76</v>
      </c>
      <c r="E113" s="390">
        <f t="shared" si="19"/>
        <v>4241.890000000014</v>
      </c>
      <c r="F113" s="199">
        <v>18.29953125</v>
      </c>
      <c r="G113" s="199">
        <f t="shared" si="17"/>
        <v>77624.59861406276</v>
      </c>
      <c r="H113" s="212">
        <f t="shared" si="18"/>
        <v>46574.75916843766</v>
      </c>
      <c r="I113" s="97"/>
      <c r="J113" s="213"/>
    </row>
    <row r="114" spans="1:10" s="147" customFormat="1" ht="12.75">
      <c r="A114" s="360">
        <v>39539</v>
      </c>
      <c r="B114" s="209" t="s">
        <v>90</v>
      </c>
      <c r="C114" s="168">
        <v>39553</v>
      </c>
      <c r="D114" s="169">
        <v>163458</v>
      </c>
      <c r="E114" s="390">
        <f t="shared" si="19"/>
        <v>2581.2399999999907</v>
      </c>
      <c r="F114" s="199">
        <v>18.29953125</v>
      </c>
      <c r="G114" s="199">
        <f t="shared" si="17"/>
        <v>47235.482043749835</v>
      </c>
      <c r="H114" s="212">
        <f t="shared" si="18"/>
        <v>28341.2892262499</v>
      </c>
      <c r="I114" s="97"/>
      <c r="J114" s="213"/>
    </row>
    <row r="115" spans="1:10" s="147" customFormat="1" ht="12.75">
      <c r="A115" s="360">
        <v>39569</v>
      </c>
      <c r="B115" s="209" t="s">
        <v>90</v>
      </c>
      <c r="C115" s="168">
        <v>39583</v>
      </c>
      <c r="D115" s="169">
        <v>165705.54</v>
      </c>
      <c r="E115" s="390">
        <f t="shared" si="19"/>
        <v>2247.540000000008</v>
      </c>
      <c r="F115" s="199">
        <v>18.29953125</v>
      </c>
      <c r="G115" s="199">
        <f>IF(E115="","",E115*F115)</f>
        <v>41128.928465625155</v>
      </c>
      <c r="H115" s="212">
        <f t="shared" si="18"/>
        <v>24677.35707937509</v>
      </c>
      <c r="I115" s="97" t="s">
        <v>114</v>
      </c>
      <c r="J115" s="213" t="s">
        <v>125</v>
      </c>
    </row>
    <row r="116" spans="1:10" s="147" customFormat="1" ht="13.5" thickBot="1">
      <c r="A116" s="152">
        <v>39600</v>
      </c>
      <c r="B116" s="326" t="s">
        <v>90</v>
      </c>
      <c r="C116" s="173">
        <v>39615</v>
      </c>
      <c r="D116" s="174">
        <v>167934.83</v>
      </c>
      <c r="E116" s="390">
        <f t="shared" si="19"/>
        <v>2229.289999999979</v>
      </c>
      <c r="F116" s="199">
        <v>18.29953125</v>
      </c>
      <c r="G116" s="203">
        <f>IF(E116="","",E116*F116)</f>
        <v>40794.962020312116</v>
      </c>
      <c r="H116" s="328">
        <f t="shared" si="18"/>
        <v>24476.97721218727</v>
      </c>
      <c r="I116" s="97">
        <f>SUM(E105:E116)</f>
        <v>38682.92999999999</v>
      </c>
      <c r="J116" s="447">
        <f>SUM(H105:H116)</f>
        <v>424727.6918259374</v>
      </c>
    </row>
    <row r="117" spans="1:12" s="547" customFormat="1" ht="12.75">
      <c r="A117" s="538">
        <v>39630</v>
      </c>
      <c r="B117" s="539" t="s">
        <v>90</v>
      </c>
      <c r="C117" s="540">
        <v>39645</v>
      </c>
      <c r="D117" s="541">
        <v>169802.48</v>
      </c>
      <c r="E117" s="542">
        <f t="shared" si="19"/>
        <v>1867.6500000000233</v>
      </c>
      <c r="F117" s="543">
        <v>17.5772</v>
      </c>
      <c r="G117" s="543">
        <f>E117*F117</f>
        <v>32828.05758000041</v>
      </c>
      <c r="H117" s="544">
        <f>G117*0.6</f>
        <v>19696.834548000243</v>
      </c>
      <c r="I117" s="545">
        <f>(I116-I104)/I104</f>
        <v>0.18358677959048816</v>
      </c>
      <c r="J117" s="546"/>
      <c r="L117" s="548"/>
    </row>
    <row r="118" spans="1:10" s="547" customFormat="1" ht="12.75">
      <c r="A118" s="549">
        <v>39661</v>
      </c>
      <c r="B118" s="550" t="s">
        <v>90</v>
      </c>
      <c r="C118" s="551">
        <v>39678</v>
      </c>
      <c r="D118" s="552">
        <v>171801.28</v>
      </c>
      <c r="E118" s="553">
        <f t="shared" si="19"/>
        <v>1998.7999999999884</v>
      </c>
      <c r="F118" s="554">
        <v>17.5772</v>
      </c>
      <c r="G118" s="554">
        <f>E118*F118</f>
        <v>35133.307359999795</v>
      </c>
      <c r="H118" s="555">
        <f>G118*0.6</f>
        <v>21079.984415999876</v>
      </c>
      <c r="J118" s="546"/>
    </row>
    <row r="119" spans="1:10" s="547" customFormat="1" ht="12.75">
      <c r="A119" s="549">
        <v>39692</v>
      </c>
      <c r="B119" s="550" t="s">
        <v>90</v>
      </c>
      <c r="C119" s="551">
        <v>39706</v>
      </c>
      <c r="D119" s="552">
        <v>173644.83</v>
      </c>
      <c r="E119" s="553">
        <f t="shared" si="19"/>
        <v>1843.5499999999884</v>
      </c>
      <c r="F119" s="554">
        <v>17.5772</v>
      </c>
      <c r="G119" s="554">
        <f>E119*F119</f>
        <v>32404.4470599998</v>
      </c>
      <c r="H119" s="555">
        <f>G119*0.6</f>
        <v>19442.668235999878</v>
      </c>
      <c r="J119" s="546"/>
    </row>
    <row r="120" spans="1:10" s="547" customFormat="1" ht="12.75">
      <c r="A120" s="549">
        <v>39722</v>
      </c>
      <c r="B120" s="550" t="s">
        <v>90</v>
      </c>
      <c r="C120" s="551">
        <v>39736</v>
      </c>
      <c r="D120" s="552">
        <v>175346.41</v>
      </c>
      <c r="E120" s="553">
        <f t="shared" si="19"/>
        <v>1701.5800000000163</v>
      </c>
      <c r="F120" s="554">
        <v>17.5772</v>
      </c>
      <c r="G120" s="554">
        <f aca="true" t="shared" si="20" ref="G120:G128">IF(E120="","",E120*F120)</f>
        <v>29909.01197600029</v>
      </c>
      <c r="H120" s="555">
        <f>IF(G120="","",G120*0.6)</f>
        <v>17945.407185600172</v>
      </c>
      <c r="I120" s="548"/>
      <c r="J120" s="546"/>
    </row>
    <row r="121" spans="1:10" s="547" customFormat="1" ht="12.75">
      <c r="A121" s="549">
        <v>39753</v>
      </c>
      <c r="B121" s="550" t="s">
        <v>90</v>
      </c>
      <c r="C121" s="551">
        <v>39770</v>
      </c>
      <c r="D121" s="552">
        <v>177811.65</v>
      </c>
      <c r="E121" s="553">
        <f t="shared" si="19"/>
        <v>2465.2399999999907</v>
      </c>
      <c r="F121" s="554">
        <v>17.5772</v>
      </c>
      <c r="G121" s="554">
        <f t="shared" si="20"/>
        <v>43332.01652799984</v>
      </c>
      <c r="H121" s="555">
        <f aca="true" t="shared" si="21" ref="H121:H128">IF(G121="","",G121*0.6)</f>
        <v>25999.209916799904</v>
      </c>
      <c r="I121" s="548"/>
      <c r="J121" s="546"/>
    </row>
    <row r="122" spans="1:10" s="547" customFormat="1" ht="12.75">
      <c r="A122" s="549">
        <v>39783</v>
      </c>
      <c r="B122" s="550" t="s">
        <v>90</v>
      </c>
      <c r="C122" s="551">
        <v>39799</v>
      </c>
      <c r="D122" s="552">
        <v>180594.98</v>
      </c>
      <c r="E122" s="553">
        <f t="shared" si="19"/>
        <v>2783.3300000000163</v>
      </c>
      <c r="F122" s="554">
        <v>17.5772</v>
      </c>
      <c r="G122" s="554">
        <f>IF(E122="","",E122*F122)</f>
        <v>48923.14807600029</v>
      </c>
      <c r="H122" s="555">
        <f t="shared" si="21"/>
        <v>29353.888845600173</v>
      </c>
      <c r="I122" s="548"/>
      <c r="J122" s="546"/>
    </row>
    <row r="123" spans="1:10" s="547" customFormat="1" ht="12.75">
      <c r="A123" s="549">
        <v>39814</v>
      </c>
      <c r="B123" s="550" t="s">
        <v>90</v>
      </c>
      <c r="C123" s="556">
        <v>39829</v>
      </c>
      <c r="D123" s="552">
        <v>183716.34</v>
      </c>
      <c r="E123" s="553">
        <f t="shared" si="19"/>
        <v>3121.359999999986</v>
      </c>
      <c r="F123" s="554">
        <v>17.5772</v>
      </c>
      <c r="G123" s="554">
        <f t="shared" si="20"/>
        <v>54864.76899199976</v>
      </c>
      <c r="H123" s="555">
        <f t="shared" si="21"/>
        <v>32918.861395199856</v>
      </c>
      <c r="I123" s="548"/>
      <c r="J123" s="546"/>
    </row>
    <row r="124" spans="1:10" s="547" customFormat="1" ht="12.75">
      <c r="A124" s="549">
        <v>39845</v>
      </c>
      <c r="B124" s="550" t="s">
        <v>90</v>
      </c>
      <c r="C124" s="551">
        <v>39861</v>
      </c>
      <c r="D124" s="552">
        <v>187500.21</v>
      </c>
      <c r="E124" s="553">
        <f t="shared" si="19"/>
        <v>3783.8699999999953</v>
      </c>
      <c r="F124" s="554">
        <v>17.5772</v>
      </c>
      <c r="G124" s="554">
        <f t="shared" si="20"/>
        <v>66509.83976399992</v>
      </c>
      <c r="H124" s="555">
        <f>IF(G124="","",G124*0.6)</f>
        <v>39905.90385839995</v>
      </c>
      <c r="I124" s="548"/>
      <c r="J124" s="546"/>
    </row>
    <row r="125" spans="1:10" s="547" customFormat="1" ht="12.75">
      <c r="A125" s="549">
        <v>39873</v>
      </c>
      <c r="B125" s="550" t="s">
        <v>90</v>
      </c>
      <c r="C125" s="556">
        <v>39889</v>
      </c>
      <c r="D125" s="552">
        <v>190200.87</v>
      </c>
      <c r="E125" s="553">
        <f t="shared" si="19"/>
        <v>2700.6600000000035</v>
      </c>
      <c r="F125" s="554">
        <v>17.5772</v>
      </c>
      <c r="G125" s="554">
        <f t="shared" si="20"/>
        <v>47470.04095200006</v>
      </c>
      <c r="H125" s="555">
        <f t="shared" si="21"/>
        <v>28482.024571200036</v>
      </c>
      <c r="I125" s="548"/>
      <c r="J125" s="546"/>
    </row>
    <row r="126" spans="1:10" s="547" customFormat="1" ht="12.75">
      <c r="A126" s="549">
        <v>39904</v>
      </c>
      <c r="B126" s="550" t="s">
        <v>90</v>
      </c>
      <c r="C126" s="551">
        <v>39923</v>
      </c>
      <c r="D126" s="557">
        <v>192663.57</v>
      </c>
      <c r="E126" s="553">
        <f t="shared" si="19"/>
        <v>2462.7000000000116</v>
      </c>
      <c r="F126" s="554">
        <v>17.5772</v>
      </c>
      <c r="G126" s="554">
        <f t="shared" si="20"/>
        <v>43287.37044000021</v>
      </c>
      <c r="H126" s="555">
        <f t="shared" si="21"/>
        <v>25972.422264000124</v>
      </c>
      <c r="I126" s="548"/>
      <c r="J126" s="546"/>
    </row>
    <row r="127" spans="1:10" s="547" customFormat="1" ht="12.75">
      <c r="A127" s="549">
        <v>39934</v>
      </c>
      <c r="B127" s="550" t="s">
        <v>90</v>
      </c>
      <c r="C127" s="551">
        <v>39948</v>
      </c>
      <c r="D127" s="557">
        <v>194020.22</v>
      </c>
      <c r="E127" s="553">
        <f aca="true" t="shared" si="22" ref="E127:E140">D127-D126</f>
        <v>1356.6499999999942</v>
      </c>
      <c r="F127" s="554">
        <v>17.5772</v>
      </c>
      <c r="G127" s="554">
        <f t="shared" si="20"/>
        <v>23846.1083799999</v>
      </c>
      <c r="H127" s="555">
        <f t="shared" si="21"/>
        <v>14307.66502799994</v>
      </c>
      <c r="I127" s="548" t="s">
        <v>114</v>
      </c>
      <c r="J127" s="546" t="s">
        <v>126</v>
      </c>
    </row>
    <row r="128" spans="1:10" s="547" customFormat="1" ht="13.5" thickBot="1">
      <c r="A128" s="558">
        <v>39965</v>
      </c>
      <c r="B128" s="559" t="s">
        <v>90</v>
      </c>
      <c r="C128" s="560">
        <v>39979</v>
      </c>
      <c r="D128" s="628">
        <v>195612.37</v>
      </c>
      <c r="E128" s="629">
        <f t="shared" si="22"/>
        <v>1592.1499999999942</v>
      </c>
      <c r="F128" s="616">
        <v>17.5772</v>
      </c>
      <c r="G128" s="561">
        <f t="shared" si="20"/>
        <v>27985.5389799999</v>
      </c>
      <c r="H128" s="562">
        <f t="shared" si="21"/>
        <v>16791.32338799994</v>
      </c>
      <c r="I128" s="548">
        <f>SUM(E117:E128)</f>
        <v>27677.540000000008</v>
      </c>
      <c r="J128" s="563">
        <f>SUM(H117:H128)</f>
        <v>291896.19365280017</v>
      </c>
    </row>
    <row r="129" spans="1:12" s="147" customFormat="1" ht="12.75">
      <c r="A129" s="654">
        <v>39995</v>
      </c>
      <c r="B129" s="392" t="s">
        <v>90</v>
      </c>
      <c r="C129" s="630">
        <v>40011</v>
      </c>
      <c r="D129" s="383">
        <v>196492.34</v>
      </c>
      <c r="E129" s="388">
        <f t="shared" si="22"/>
        <v>879.9700000000012</v>
      </c>
      <c r="F129" s="252">
        <f>Rates!$D$40</f>
        <v>16.71140625</v>
      </c>
      <c r="G129" s="252">
        <f aca="true" t="shared" si="23" ref="G129:G134">E129*F129</f>
        <v>14705.53615781252</v>
      </c>
      <c r="H129" s="253">
        <f aca="true" t="shared" si="24" ref="H129:H134">G129*0.6</f>
        <v>8823.32169468751</v>
      </c>
      <c r="I129" s="534">
        <f>(I128-I116)/I116</f>
        <v>-0.2845024924430488</v>
      </c>
      <c r="J129" s="213"/>
      <c r="L129" s="97"/>
    </row>
    <row r="130" spans="1:10" s="147" customFormat="1" ht="12.75">
      <c r="A130" s="655">
        <v>40026</v>
      </c>
      <c r="B130" s="128" t="s">
        <v>90</v>
      </c>
      <c r="C130" s="131">
        <v>40042</v>
      </c>
      <c r="D130" s="384">
        <v>197094.14</v>
      </c>
      <c r="E130" s="477">
        <f t="shared" si="22"/>
        <v>601.8000000000175</v>
      </c>
      <c r="F130" s="478">
        <f>Rates!$D$40</f>
        <v>16.71140625</v>
      </c>
      <c r="G130" s="478">
        <f t="shared" si="23"/>
        <v>10056.92428125029</v>
      </c>
      <c r="H130" s="479">
        <f t="shared" si="24"/>
        <v>6034.154568750174</v>
      </c>
      <c r="J130" s="213"/>
    </row>
    <row r="131" spans="1:10" s="147" customFormat="1" ht="12.75">
      <c r="A131" s="655">
        <v>40057</v>
      </c>
      <c r="B131" s="128" t="s">
        <v>90</v>
      </c>
      <c r="C131" s="131">
        <v>40071</v>
      </c>
      <c r="D131" s="384">
        <v>197778.73</v>
      </c>
      <c r="E131" s="477">
        <f t="shared" si="22"/>
        <v>684.5899999999965</v>
      </c>
      <c r="F131" s="478">
        <f>Rates!$D$40</f>
        <v>16.71140625</v>
      </c>
      <c r="G131" s="478">
        <f t="shared" si="23"/>
        <v>11440.461604687442</v>
      </c>
      <c r="H131" s="479">
        <f t="shared" si="24"/>
        <v>6864.276962812465</v>
      </c>
      <c r="J131" s="213"/>
    </row>
    <row r="132" spans="1:10" s="147" customFormat="1" ht="12.75">
      <c r="A132" s="655">
        <v>40087</v>
      </c>
      <c r="B132" s="128" t="s">
        <v>90</v>
      </c>
      <c r="C132" s="131">
        <v>40102</v>
      </c>
      <c r="D132" s="384">
        <v>198757.84</v>
      </c>
      <c r="E132" s="477">
        <f t="shared" si="22"/>
        <v>979.109999999986</v>
      </c>
      <c r="F132" s="478">
        <f>Rates!$D$40</f>
        <v>16.71140625</v>
      </c>
      <c r="G132" s="478">
        <f t="shared" si="23"/>
        <v>16362.304973437265</v>
      </c>
      <c r="H132" s="479">
        <f t="shared" si="24"/>
        <v>9817.382984062358</v>
      </c>
      <c r="I132" s="97"/>
      <c r="J132" s="213"/>
    </row>
    <row r="133" spans="1:10" s="147" customFormat="1" ht="12.75">
      <c r="A133" s="655">
        <v>40118</v>
      </c>
      <c r="B133" s="128" t="s">
        <v>90</v>
      </c>
      <c r="C133" s="131">
        <v>40133</v>
      </c>
      <c r="D133" s="384">
        <v>200295.68</v>
      </c>
      <c r="E133" s="477">
        <f t="shared" si="22"/>
        <v>1537.8399999999965</v>
      </c>
      <c r="F133" s="478">
        <f>Rates!$D$40</f>
        <v>16.71140625</v>
      </c>
      <c r="G133" s="478">
        <f t="shared" si="23"/>
        <v>25699.468987499942</v>
      </c>
      <c r="H133" s="479">
        <f t="shared" si="24"/>
        <v>15419.681392499964</v>
      </c>
      <c r="I133" s="97"/>
      <c r="J133" s="213"/>
    </row>
    <row r="134" spans="1:10" s="147" customFormat="1" ht="12.75">
      <c r="A134" s="655">
        <v>40148</v>
      </c>
      <c r="B134" s="128" t="s">
        <v>90</v>
      </c>
      <c r="C134" s="131">
        <v>40162</v>
      </c>
      <c r="D134" s="384">
        <v>202625.17</v>
      </c>
      <c r="E134" s="477">
        <f t="shared" si="22"/>
        <v>2329.49000000002</v>
      </c>
      <c r="F134" s="478">
        <f>Rates!$D$40</f>
        <v>16.71140625</v>
      </c>
      <c r="G134" s="478">
        <f t="shared" si="23"/>
        <v>38929.05374531283</v>
      </c>
      <c r="H134" s="479">
        <f t="shared" si="24"/>
        <v>23357.432247187695</v>
      </c>
      <c r="I134" s="97"/>
      <c r="J134" s="213"/>
    </row>
    <row r="135" spans="1:10" s="147" customFormat="1" ht="12.75">
      <c r="A135" s="655">
        <v>40179</v>
      </c>
      <c r="B135" s="128" t="s">
        <v>90</v>
      </c>
      <c r="C135" s="131">
        <v>40193</v>
      </c>
      <c r="D135" s="384">
        <v>205372.21</v>
      </c>
      <c r="E135" s="477">
        <f t="shared" si="22"/>
        <v>2747.039999999979</v>
      </c>
      <c r="F135" s="478">
        <f>Rates!$D$40</f>
        <v>16.71140625</v>
      </c>
      <c r="G135" s="478">
        <f aca="true" t="shared" si="25" ref="G135:G140">IF(E135="","",E135*F135)</f>
        <v>45906.90142499965</v>
      </c>
      <c r="H135" s="479">
        <f aca="true" t="shared" si="26" ref="H135:H140">IF(G135="","",G135*0.6)</f>
        <v>27544.140854999787</v>
      </c>
      <c r="I135" s="97"/>
      <c r="J135" s="213"/>
    </row>
    <row r="136" spans="1:10" s="147" customFormat="1" ht="12.75">
      <c r="A136" s="655">
        <v>40210</v>
      </c>
      <c r="B136" s="128" t="s">
        <v>90</v>
      </c>
      <c r="C136" s="131">
        <v>40224</v>
      </c>
      <c r="D136" s="384">
        <v>208353.21</v>
      </c>
      <c r="E136" s="477">
        <f t="shared" si="22"/>
        <v>2981</v>
      </c>
      <c r="F136" s="478">
        <f>Rates!$D$40</f>
        <v>16.71140625</v>
      </c>
      <c r="G136" s="478">
        <f t="shared" si="25"/>
        <v>49816.702031249995</v>
      </c>
      <c r="H136" s="479">
        <f t="shared" si="26"/>
        <v>29890.021218749996</v>
      </c>
      <c r="I136" s="97"/>
      <c r="J136" s="213"/>
    </row>
    <row r="137" spans="1:10" s="147" customFormat="1" ht="12.75">
      <c r="A137" s="655">
        <v>40238</v>
      </c>
      <c r="B137" s="128" t="s">
        <v>90</v>
      </c>
      <c r="C137" s="131">
        <v>40252</v>
      </c>
      <c r="D137" s="384">
        <v>210505.82</v>
      </c>
      <c r="E137" s="477">
        <f t="shared" si="22"/>
        <v>2152.610000000015</v>
      </c>
      <c r="F137" s="478">
        <f>Rates!$D$40</f>
        <v>16.71140625</v>
      </c>
      <c r="G137" s="478">
        <f t="shared" si="25"/>
        <v>35973.14020781275</v>
      </c>
      <c r="H137" s="479">
        <f t="shared" si="26"/>
        <v>21583.88412468765</v>
      </c>
      <c r="I137" s="97"/>
      <c r="J137" s="213"/>
    </row>
    <row r="138" spans="1:10" s="147" customFormat="1" ht="12.75">
      <c r="A138" s="655">
        <v>40269</v>
      </c>
      <c r="B138" s="128" t="s">
        <v>90</v>
      </c>
      <c r="C138" s="131">
        <v>40284</v>
      </c>
      <c r="D138" s="384">
        <v>212074.4</v>
      </c>
      <c r="E138" s="477">
        <f t="shared" si="22"/>
        <v>1568.5799999999872</v>
      </c>
      <c r="F138" s="478">
        <f>Rates!$D$40</f>
        <v>16.71140625</v>
      </c>
      <c r="G138" s="478">
        <f t="shared" si="25"/>
        <v>26213.177615624787</v>
      </c>
      <c r="H138" s="479">
        <f t="shared" si="26"/>
        <v>15727.90656937487</v>
      </c>
      <c r="I138" s="97"/>
      <c r="J138" s="213"/>
    </row>
    <row r="139" spans="1:10" s="147" customFormat="1" ht="12.75">
      <c r="A139" s="655">
        <v>40299</v>
      </c>
      <c r="B139" s="128" t="s">
        <v>90</v>
      </c>
      <c r="C139" s="131">
        <v>40312</v>
      </c>
      <c r="D139" s="384">
        <v>213277.24</v>
      </c>
      <c r="E139" s="477">
        <f t="shared" si="22"/>
        <v>1202.8399999999965</v>
      </c>
      <c r="F139" s="478">
        <f>Rates!$D$40</f>
        <v>16.71140625</v>
      </c>
      <c r="G139" s="478">
        <f t="shared" si="25"/>
        <v>20101.14789374994</v>
      </c>
      <c r="H139" s="479">
        <f t="shared" si="26"/>
        <v>12060.688736249964</v>
      </c>
      <c r="I139" s="97" t="s">
        <v>114</v>
      </c>
      <c r="J139" s="213" t="s">
        <v>127</v>
      </c>
    </row>
    <row r="140" spans="1:10" s="147" customFormat="1" ht="12.75">
      <c r="A140" s="655">
        <v>40330</v>
      </c>
      <c r="B140" s="128" t="s">
        <v>90</v>
      </c>
      <c r="C140" s="131">
        <v>40343</v>
      </c>
      <c r="D140" s="384">
        <v>214196.19</v>
      </c>
      <c r="E140" s="477">
        <f t="shared" si="22"/>
        <v>918.9500000000116</v>
      </c>
      <c r="F140" s="478">
        <f>Rates!$D$40</f>
        <v>16.71140625</v>
      </c>
      <c r="G140" s="478">
        <f t="shared" si="25"/>
        <v>15356.946773437694</v>
      </c>
      <c r="H140" s="479">
        <f t="shared" si="26"/>
        <v>9214.168064062616</v>
      </c>
      <c r="I140" s="97">
        <f>SUM(E129:E140)</f>
        <v>18583.820000000007</v>
      </c>
      <c r="J140" s="447">
        <f>SUM(H129:H140)</f>
        <v>186337.05941812505</v>
      </c>
    </row>
    <row r="141" spans="1:9" ht="12.75">
      <c r="A141" s="371" t="s">
        <v>21</v>
      </c>
      <c r="E141" s="222"/>
      <c r="I141" s="534">
        <f>(I140-I128)/I128</f>
        <v>-0.3285595468383389</v>
      </c>
    </row>
    <row r="142" spans="1:5" ht="12.75">
      <c r="A142" s="371" t="s">
        <v>22</v>
      </c>
      <c r="E142" s="222"/>
    </row>
    <row r="143" spans="5:8" ht="12.75">
      <c r="E143" s="222"/>
      <c r="G143" s="32"/>
      <c r="H143" s="32"/>
    </row>
    <row r="144" spans="7:8" ht="12.75">
      <c r="G144" s="32"/>
      <c r="H144" s="32"/>
    </row>
    <row r="145" spans="5:10" ht="12.75">
      <c r="E145" s="495">
        <f aca="true" t="shared" si="27" ref="E145:E151">E127/E115</f>
        <v>0.6036155085115233</v>
      </c>
      <c r="J145" s="496"/>
    </row>
    <row r="146" ht="12.75">
      <c r="E146" s="495">
        <f t="shared" si="27"/>
        <v>0.7141959996232026</v>
      </c>
    </row>
    <row r="147" ht="12.75">
      <c r="E147" s="495">
        <f t="shared" si="27"/>
        <v>0.471164297379054</v>
      </c>
    </row>
    <row r="148" ht="12.75">
      <c r="E148" s="495">
        <f t="shared" si="27"/>
        <v>0.3010806483890439</v>
      </c>
    </row>
    <row r="149" ht="12.75">
      <c r="E149" s="495">
        <f t="shared" si="27"/>
        <v>0.37134333215806503</v>
      </c>
    </row>
    <row r="150" ht="12.75">
      <c r="E150" s="495">
        <f t="shared" si="27"/>
        <v>0.5754122638958948</v>
      </c>
    </row>
    <row r="151" ht="12.75">
      <c r="E151" s="495">
        <f t="shared" si="27"/>
        <v>0.6238094465447592</v>
      </c>
    </row>
    <row r="152" ht="12.75">
      <c r="E152" s="495">
        <f>E134/E122</f>
        <v>0.8369435172976277</v>
      </c>
    </row>
  </sheetData>
  <sheetProtection/>
  <mergeCells count="5">
    <mergeCell ref="B30:C30"/>
    <mergeCell ref="A1:H1"/>
    <mergeCell ref="A2:H2"/>
    <mergeCell ref="A3:H3"/>
    <mergeCell ref="B29:C29"/>
  </mergeCells>
  <printOptions horizontalCentered="1"/>
  <pageMargins left="0.75" right="0.75" top="1" bottom="1" header="0.5" footer="0.5"/>
  <pageSetup fitToHeight="1" fitToWidth="1" horizontalDpi="300" verticalDpi="300" orientation="portrait" scale="75" r:id="rId1"/>
  <headerFooter alignWithMargins="0">
    <oddFooter>&amp;L&amp;D&amp;Rpage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view="pageBreakPreview" zoomScaleSheetLayoutView="100" zoomScalePageLayoutView="0" workbookViewId="0" topLeftCell="A117">
      <selection activeCell="D146" sqref="D146"/>
    </sheetView>
  </sheetViews>
  <sheetFormatPr defaultColWidth="9.140625" defaultRowHeight="12.75" outlineLevelRow="1"/>
  <cols>
    <col min="1" max="1" width="11.140625" style="1" bestFit="1" customWidth="1"/>
    <col min="2" max="2" width="13.28125" style="0" bestFit="1" customWidth="1"/>
    <col min="3" max="3" width="13.57421875" style="0" bestFit="1" customWidth="1"/>
    <col min="4" max="4" width="16.8515625" style="0" bestFit="1" customWidth="1"/>
    <col min="5" max="5" width="9.421875" style="0" customWidth="1"/>
    <col min="6" max="6" width="12.7109375" style="64" bestFit="1" customWidth="1"/>
    <col min="7" max="7" width="12.28125" style="0" customWidth="1"/>
    <col min="8" max="8" width="16.28125" style="0" bestFit="1" customWidth="1"/>
    <col min="9" max="9" width="16.57421875" style="0" bestFit="1" customWidth="1"/>
    <col min="10" max="10" width="13.8515625" style="0" customWidth="1"/>
    <col min="11" max="11" width="13.57421875" style="0" customWidth="1"/>
  </cols>
  <sheetData>
    <row r="1" spans="1:9" ht="18">
      <c r="A1" s="680" t="s">
        <v>0</v>
      </c>
      <c r="B1" s="680"/>
      <c r="C1" s="680"/>
      <c r="D1" s="680"/>
      <c r="E1" s="680"/>
      <c r="F1" s="680"/>
      <c r="G1" s="680"/>
      <c r="H1" s="680"/>
      <c r="I1" s="680"/>
    </row>
    <row r="2" spans="1:9" ht="18">
      <c r="A2" s="681" t="s">
        <v>61</v>
      </c>
      <c r="B2" s="681"/>
      <c r="C2" s="681"/>
      <c r="D2" s="681"/>
      <c r="E2" s="681"/>
      <c r="F2" s="681"/>
      <c r="G2" s="681"/>
      <c r="H2" s="681"/>
      <c r="I2" s="681"/>
    </row>
    <row r="3" ht="7.5" customHeight="1" thickBot="1"/>
    <row r="4" spans="1:9" ht="12.75">
      <c r="A4" s="6" t="s">
        <v>1</v>
      </c>
      <c r="B4" s="6" t="s">
        <v>3</v>
      </c>
      <c r="C4" s="6" t="s">
        <v>4</v>
      </c>
      <c r="D4" s="6" t="s">
        <v>5</v>
      </c>
      <c r="E4" s="6" t="s">
        <v>44</v>
      </c>
      <c r="F4" s="65" t="s">
        <v>49</v>
      </c>
      <c r="G4" s="6" t="s">
        <v>48</v>
      </c>
      <c r="H4" s="6" t="s">
        <v>7</v>
      </c>
      <c r="I4" s="6" t="s">
        <v>9</v>
      </c>
    </row>
    <row r="5" spans="1:9" ht="13.5" thickBot="1">
      <c r="A5" s="2" t="s">
        <v>2</v>
      </c>
      <c r="B5" s="2" t="s">
        <v>4</v>
      </c>
      <c r="C5" s="2" t="s">
        <v>108</v>
      </c>
      <c r="D5" s="2" t="s">
        <v>89</v>
      </c>
      <c r="E5" s="2" t="s">
        <v>45</v>
      </c>
      <c r="F5" s="66" t="s">
        <v>50</v>
      </c>
      <c r="G5" s="2" t="s">
        <v>47</v>
      </c>
      <c r="H5" s="2" t="s">
        <v>8</v>
      </c>
      <c r="I5" s="2" t="s">
        <v>8</v>
      </c>
    </row>
    <row r="6" spans="1:9" ht="13.5" hidden="1" outlineLevel="1" thickBot="1">
      <c r="A6" s="377">
        <v>36312</v>
      </c>
      <c r="B6" s="85">
        <v>36347</v>
      </c>
      <c r="C6" s="86">
        <v>3611.22</v>
      </c>
      <c r="D6" s="87"/>
      <c r="E6" s="6"/>
      <c r="F6" s="65"/>
      <c r="G6" s="6"/>
      <c r="H6" s="88"/>
      <c r="I6" s="88"/>
    </row>
    <row r="7" spans="1:9" ht="12.75" hidden="1" outlineLevel="1">
      <c r="A7" s="21">
        <v>36342</v>
      </c>
      <c r="B7" s="22">
        <v>36374</v>
      </c>
      <c r="C7" s="36">
        <v>3868.79</v>
      </c>
      <c r="D7" s="20">
        <f>(C7-C6)*1000</f>
        <v>257570.00000000017</v>
      </c>
      <c r="E7" s="51"/>
      <c r="F7" s="67"/>
      <c r="G7" s="51"/>
      <c r="H7" s="63"/>
      <c r="I7" s="63"/>
    </row>
    <row r="8" spans="1:9" ht="12.75" hidden="1" outlineLevel="1">
      <c r="A8" s="10">
        <v>36373</v>
      </c>
      <c r="B8" s="4">
        <v>36403</v>
      </c>
      <c r="C8" s="34">
        <v>4099.34</v>
      </c>
      <c r="D8" s="8">
        <f>(C8-C7)*1000</f>
        <v>230550.00000000017</v>
      </c>
      <c r="E8" s="56">
        <v>761</v>
      </c>
      <c r="F8" s="69"/>
      <c r="G8" s="56"/>
      <c r="H8" s="74"/>
      <c r="I8" s="74"/>
    </row>
    <row r="9" spans="1:9" ht="12.75" hidden="1" outlineLevel="1">
      <c r="A9" s="10">
        <v>36404</v>
      </c>
      <c r="B9" s="4">
        <v>36434</v>
      </c>
      <c r="C9" s="34">
        <v>4337.27</v>
      </c>
      <c r="D9" s="8">
        <f aca="true" t="shared" si="0" ref="D9:D28">(C9-C8)*1000</f>
        <v>237930.0000000003</v>
      </c>
      <c r="E9" s="57">
        <v>328</v>
      </c>
      <c r="F9" s="70"/>
      <c r="G9" s="57"/>
      <c r="H9" s="74">
        <v>14608.15</v>
      </c>
      <c r="I9" s="74">
        <f aca="true" t="shared" si="1" ref="I9:I66">H9*0.6</f>
        <v>8764.89</v>
      </c>
    </row>
    <row r="10" spans="1:9" ht="12.75" hidden="1" outlineLevel="1">
      <c r="A10" s="10">
        <v>36434</v>
      </c>
      <c r="B10" s="4">
        <v>36465</v>
      </c>
      <c r="C10" s="34">
        <v>4555.39</v>
      </c>
      <c r="D10" s="8">
        <f t="shared" si="0"/>
        <v>218119.99999999988</v>
      </c>
      <c r="E10" s="57">
        <v>399</v>
      </c>
      <c r="F10" s="70"/>
      <c r="G10" s="57"/>
      <c r="H10" s="74">
        <v>15076.64</v>
      </c>
      <c r="I10" s="74">
        <f t="shared" si="1"/>
        <v>9045.983999999999</v>
      </c>
    </row>
    <row r="11" spans="1:9" ht="12.75" hidden="1" outlineLevel="1">
      <c r="A11" s="10">
        <v>36465</v>
      </c>
      <c r="B11" s="4">
        <v>36495</v>
      </c>
      <c r="C11" s="34">
        <v>4733.26</v>
      </c>
      <c r="D11" s="8">
        <f t="shared" si="0"/>
        <v>177869.99999999988</v>
      </c>
      <c r="E11" s="57">
        <v>290</v>
      </c>
      <c r="F11" s="70"/>
      <c r="G11" s="57"/>
      <c r="H11" s="74">
        <v>12241.5</v>
      </c>
      <c r="I11" s="74">
        <f t="shared" si="1"/>
        <v>7344.9</v>
      </c>
    </row>
    <row r="12" spans="1:9" ht="12.75" hidden="1" outlineLevel="1">
      <c r="A12" s="10">
        <v>36495</v>
      </c>
      <c r="B12" s="4">
        <v>36528</v>
      </c>
      <c r="C12" s="34">
        <v>4916.21</v>
      </c>
      <c r="D12" s="8">
        <f t="shared" si="0"/>
        <v>182949.99999999983</v>
      </c>
      <c r="E12" s="57">
        <v>261</v>
      </c>
      <c r="F12" s="70"/>
      <c r="G12" s="57"/>
      <c r="H12" s="74">
        <v>11995.42</v>
      </c>
      <c r="I12" s="74">
        <f t="shared" si="1"/>
        <v>7197.2519999999995</v>
      </c>
    </row>
    <row r="13" spans="1:9" ht="12.75" hidden="1" outlineLevel="1">
      <c r="A13" s="10">
        <v>36526</v>
      </c>
      <c r="B13" s="4">
        <v>36560</v>
      </c>
      <c r="C13" s="34">
        <v>5093.26</v>
      </c>
      <c r="D13" s="8">
        <f t="shared" si="0"/>
        <v>177050.00000000017</v>
      </c>
      <c r="E13" s="57">
        <v>288</v>
      </c>
      <c r="F13" s="70"/>
      <c r="G13" s="57"/>
      <c r="H13" s="74">
        <v>12333.25</v>
      </c>
      <c r="I13" s="74">
        <f t="shared" si="1"/>
        <v>7399.95</v>
      </c>
    </row>
    <row r="14" spans="1:10" ht="12.75" hidden="1" outlineLevel="1">
      <c r="A14" s="10">
        <v>36557</v>
      </c>
      <c r="B14" s="4">
        <v>36586</v>
      </c>
      <c r="C14" s="34">
        <v>146.204</v>
      </c>
      <c r="D14" s="8">
        <v>146204</v>
      </c>
      <c r="E14" s="57">
        <v>279</v>
      </c>
      <c r="F14" s="70"/>
      <c r="G14" s="57"/>
      <c r="H14" s="74">
        <v>11238.26</v>
      </c>
      <c r="I14" s="74">
        <f t="shared" si="1"/>
        <v>6742.956</v>
      </c>
      <c r="J14" t="s">
        <v>23</v>
      </c>
    </row>
    <row r="15" spans="1:9" ht="12.75" hidden="1" outlineLevel="1">
      <c r="A15" s="10">
        <v>36586</v>
      </c>
      <c r="B15" s="4">
        <v>36621</v>
      </c>
      <c r="C15" s="34">
        <v>340.907</v>
      </c>
      <c r="D15" s="8">
        <f t="shared" si="0"/>
        <v>194702.99999999997</v>
      </c>
      <c r="E15" s="57">
        <v>284</v>
      </c>
      <c r="F15" s="70"/>
      <c r="G15" s="57"/>
      <c r="H15" s="74">
        <v>12775.67</v>
      </c>
      <c r="I15" s="74">
        <f t="shared" si="1"/>
        <v>7665.402</v>
      </c>
    </row>
    <row r="16" spans="1:10" ht="12.75" hidden="1" outlineLevel="1">
      <c r="A16" s="10">
        <v>36617</v>
      </c>
      <c r="B16" s="4">
        <v>36648</v>
      </c>
      <c r="C16" s="34">
        <v>150.169</v>
      </c>
      <c r="D16" s="364">
        <v>225000</v>
      </c>
      <c r="E16" s="57">
        <v>252</v>
      </c>
      <c r="F16" s="70"/>
      <c r="G16" s="57"/>
      <c r="H16" s="74">
        <v>10939.69</v>
      </c>
      <c r="I16" s="74">
        <f t="shared" si="1"/>
        <v>6563.814</v>
      </c>
      <c r="J16" t="s">
        <v>23</v>
      </c>
    </row>
    <row r="17" spans="1:9" ht="12.75" hidden="1" outlineLevel="1">
      <c r="A17" s="10">
        <v>36647</v>
      </c>
      <c r="B17" s="4">
        <v>36682</v>
      </c>
      <c r="C17" s="34">
        <v>400.06</v>
      </c>
      <c r="D17" s="8">
        <f t="shared" si="0"/>
        <v>249891</v>
      </c>
      <c r="E17" s="57">
        <v>446</v>
      </c>
      <c r="F17" s="70"/>
      <c r="G17" s="57"/>
      <c r="H17" s="74">
        <v>16738.02</v>
      </c>
      <c r="I17" s="74">
        <f t="shared" si="1"/>
        <v>10042.812</v>
      </c>
    </row>
    <row r="18" spans="1:9" ht="13.5" hidden="1" outlineLevel="1" thickBot="1">
      <c r="A18" s="369">
        <v>36678</v>
      </c>
      <c r="B18" s="12">
        <v>36712</v>
      </c>
      <c r="C18" s="35">
        <v>668.232</v>
      </c>
      <c r="D18" s="179">
        <f t="shared" si="0"/>
        <v>268171.99999999994</v>
      </c>
      <c r="E18" s="58">
        <v>459</v>
      </c>
      <c r="F18" s="71"/>
      <c r="G18" s="58"/>
      <c r="H18" s="75">
        <v>17489.81</v>
      </c>
      <c r="I18" s="75">
        <f t="shared" si="1"/>
        <v>10493.886</v>
      </c>
    </row>
    <row r="19" spans="1:9" ht="12.75" hidden="1" outlineLevel="1">
      <c r="A19" s="21">
        <v>36708</v>
      </c>
      <c r="B19" s="22">
        <v>36739</v>
      </c>
      <c r="C19" s="36">
        <v>933.852</v>
      </c>
      <c r="D19" s="20">
        <f t="shared" si="0"/>
        <v>265620</v>
      </c>
      <c r="E19" s="51">
        <v>490</v>
      </c>
      <c r="F19" s="67"/>
      <c r="G19" s="51"/>
      <c r="H19" s="63">
        <v>17837.38</v>
      </c>
      <c r="I19" s="63">
        <f t="shared" si="1"/>
        <v>10702.428</v>
      </c>
    </row>
    <row r="20" spans="1:9" ht="12.75" hidden="1" outlineLevel="1">
      <c r="A20" s="10">
        <v>36739</v>
      </c>
      <c r="B20" s="52">
        <v>36768</v>
      </c>
      <c r="C20" s="33">
        <v>1205.82</v>
      </c>
      <c r="D20" s="8">
        <f t="shared" si="0"/>
        <v>271967.99999999994</v>
      </c>
      <c r="E20" s="54">
        <v>482</v>
      </c>
      <c r="F20" s="68"/>
      <c r="G20" s="53"/>
      <c r="H20" s="60">
        <v>16942.41</v>
      </c>
      <c r="I20" s="60">
        <f t="shared" si="1"/>
        <v>10165.446</v>
      </c>
    </row>
    <row r="21" spans="1:9" ht="12.75" hidden="1" outlineLevel="1">
      <c r="A21" s="10">
        <v>36770</v>
      </c>
      <c r="B21" s="4">
        <v>36803</v>
      </c>
      <c r="C21" s="34">
        <v>1520.87</v>
      </c>
      <c r="D21" s="8">
        <f t="shared" si="0"/>
        <v>315049.99999999994</v>
      </c>
      <c r="E21" s="56">
        <v>427</v>
      </c>
      <c r="F21" s="69"/>
      <c r="G21" s="56"/>
      <c r="H21" s="74">
        <v>17533.17</v>
      </c>
      <c r="I21" s="74">
        <f t="shared" si="1"/>
        <v>10519.901999999998</v>
      </c>
    </row>
    <row r="22" spans="1:9" ht="12.75" hidden="1" outlineLevel="1">
      <c r="A22" s="10">
        <v>36800</v>
      </c>
      <c r="B22" s="4">
        <v>36831</v>
      </c>
      <c r="C22" s="34">
        <v>1741.49</v>
      </c>
      <c r="D22" s="8">
        <f t="shared" si="0"/>
        <v>220620.00000000012</v>
      </c>
      <c r="E22" s="57">
        <v>301</v>
      </c>
      <c r="F22" s="70"/>
      <c r="G22" s="57"/>
      <c r="H22" s="74">
        <v>12838.3</v>
      </c>
      <c r="I22" s="74">
        <f t="shared" si="1"/>
        <v>7702.98</v>
      </c>
    </row>
    <row r="23" spans="1:9" ht="12.75" hidden="1" outlineLevel="1">
      <c r="A23" s="10">
        <v>36831</v>
      </c>
      <c r="B23" s="4">
        <v>36866</v>
      </c>
      <c r="C23" s="34">
        <v>1947.29</v>
      </c>
      <c r="D23" s="8">
        <f t="shared" si="0"/>
        <v>205799.99999999994</v>
      </c>
      <c r="E23" s="57">
        <v>265</v>
      </c>
      <c r="F23" s="70"/>
      <c r="G23" s="57"/>
      <c r="H23" s="74">
        <v>11877.73</v>
      </c>
      <c r="I23" s="74">
        <f t="shared" si="1"/>
        <v>7126.638</v>
      </c>
    </row>
    <row r="24" spans="1:9" ht="12.75" hidden="1" outlineLevel="1">
      <c r="A24" s="10">
        <v>36861</v>
      </c>
      <c r="B24" s="4">
        <v>36900</v>
      </c>
      <c r="C24" s="34">
        <v>2133.63</v>
      </c>
      <c r="D24" s="8">
        <f t="shared" si="0"/>
        <v>186340.00000000015</v>
      </c>
      <c r="E24" s="57">
        <v>275</v>
      </c>
      <c r="F24" s="70"/>
      <c r="G24" s="57"/>
      <c r="H24" s="74">
        <v>11406.19</v>
      </c>
      <c r="I24" s="74">
        <f t="shared" si="1"/>
        <v>6843.714</v>
      </c>
    </row>
    <row r="25" spans="1:9" ht="12.75" hidden="1" outlineLevel="1">
      <c r="A25" s="10">
        <v>36892</v>
      </c>
      <c r="B25" s="4">
        <v>36929</v>
      </c>
      <c r="C25" s="34">
        <v>2343</v>
      </c>
      <c r="D25" s="8">
        <f t="shared" si="0"/>
        <v>209369.99999999988</v>
      </c>
      <c r="E25" s="57">
        <v>275</v>
      </c>
      <c r="F25" s="70"/>
      <c r="G25" s="57"/>
      <c r="H25" s="74">
        <v>12127.44</v>
      </c>
      <c r="I25" s="74">
        <f t="shared" si="1"/>
        <v>7276.464</v>
      </c>
    </row>
    <row r="26" spans="1:9" ht="12.75" hidden="1" outlineLevel="1">
      <c r="A26" s="10">
        <v>36923</v>
      </c>
      <c r="B26" s="4">
        <v>36956</v>
      </c>
      <c r="C26" s="34">
        <v>2452.91</v>
      </c>
      <c r="D26" s="8">
        <f t="shared" si="0"/>
        <v>109909.99999999985</v>
      </c>
      <c r="E26" s="57">
        <v>265</v>
      </c>
      <c r="F26" s="70"/>
      <c r="G26" s="57"/>
      <c r="H26" s="74">
        <v>8874.7</v>
      </c>
      <c r="I26" s="74">
        <f t="shared" si="1"/>
        <v>5324.820000000001</v>
      </c>
    </row>
    <row r="27" spans="1:9" ht="12.75" hidden="1" outlineLevel="1">
      <c r="A27" s="10">
        <v>36951</v>
      </c>
      <c r="B27" s="4">
        <v>36985</v>
      </c>
      <c r="C27" s="34">
        <v>2612.52</v>
      </c>
      <c r="D27" s="8">
        <f t="shared" si="0"/>
        <v>159610.00000000012</v>
      </c>
      <c r="E27" s="57">
        <v>270</v>
      </c>
      <c r="F27" s="70"/>
      <c r="G27" s="57"/>
      <c r="H27" s="74">
        <v>10500.13</v>
      </c>
      <c r="I27" s="74">
        <f t="shared" si="1"/>
        <v>6300.0779999999995</v>
      </c>
    </row>
    <row r="28" spans="1:9" ht="12.75" hidden="1" outlineLevel="1">
      <c r="A28" s="10">
        <v>36982</v>
      </c>
      <c r="B28" s="4">
        <v>37012</v>
      </c>
      <c r="C28" s="34">
        <v>2764.7</v>
      </c>
      <c r="D28" s="8">
        <f t="shared" si="0"/>
        <v>152179.99999999983</v>
      </c>
      <c r="E28" s="57">
        <v>271</v>
      </c>
      <c r="F28" s="70"/>
      <c r="G28" s="57"/>
      <c r="H28" s="74">
        <v>10264.63</v>
      </c>
      <c r="I28" s="74">
        <f t="shared" si="1"/>
        <v>6158.777999999999</v>
      </c>
    </row>
    <row r="29" spans="1:10" s="17" customFormat="1" ht="12.75" hidden="1" outlineLevel="1">
      <c r="A29" s="23">
        <v>37012</v>
      </c>
      <c r="B29" s="24">
        <v>37048</v>
      </c>
      <c r="C29" s="42"/>
      <c r="D29" s="364">
        <f>D17</f>
        <v>249891</v>
      </c>
      <c r="E29" s="366">
        <f>E17</f>
        <v>446</v>
      </c>
      <c r="F29" s="72"/>
      <c r="G29" s="25"/>
      <c r="H29" s="61">
        <v>15754.57</v>
      </c>
      <c r="I29" s="61">
        <f t="shared" si="1"/>
        <v>9452.742</v>
      </c>
      <c r="J29" s="17" t="s">
        <v>46</v>
      </c>
    </row>
    <row r="30" spans="1:10" s="17" customFormat="1" ht="13.5" hidden="1" outlineLevel="1" thickBot="1">
      <c r="A30" s="120">
        <v>37043</v>
      </c>
      <c r="B30" s="55">
        <v>37074</v>
      </c>
      <c r="C30" s="59">
        <v>486.827</v>
      </c>
      <c r="D30" s="365">
        <f>D18</f>
        <v>268171.99999999994</v>
      </c>
      <c r="E30" s="367">
        <f>E18</f>
        <v>459</v>
      </c>
      <c r="F30" s="73"/>
      <c r="G30" s="30"/>
      <c r="H30" s="130">
        <v>16506.35</v>
      </c>
      <c r="I30" s="62">
        <f t="shared" si="1"/>
        <v>9903.81</v>
      </c>
      <c r="J30" s="17" t="s">
        <v>46</v>
      </c>
    </row>
    <row r="31" spans="1:9" s="17" customFormat="1" ht="12.75" hidden="1" outlineLevel="1">
      <c r="A31" s="114">
        <v>37073</v>
      </c>
      <c r="B31" s="113">
        <v>36744</v>
      </c>
      <c r="C31" s="180">
        <v>796.644</v>
      </c>
      <c r="D31" s="20">
        <f>(C31-C18)*1000</f>
        <v>128412.00000000003</v>
      </c>
      <c r="E31" s="186">
        <v>466</v>
      </c>
      <c r="F31" s="72">
        <v>0.032339</v>
      </c>
      <c r="G31" s="257">
        <v>18.25</v>
      </c>
      <c r="H31" s="101">
        <f>D31*F31+E31*G31</f>
        <v>12657.215668</v>
      </c>
      <c r="I31" s="258">
        <f t="shared" si="1"/>
        <v>7594.3294008</v>
      </c>
    </row>
    <row r="32" spans="1:9" s="17" customFormat="1" ht="12.75" hidden="1" outlineLevel="1">
      <c r="A32" s="23">
        <v>37104</v>
      </c>
      <c r="B32" s="24">
        <v>37139</v>
      </c>
      <c r="C32" s="181">
        <v>1076.47</v>
      </c>
      <c r="D32" s="8">
        <f>(C32-C31)*1000</f>
        <v>279826</v>
      </c>
      <c r="E32" s="187">
        <v>505</v>
      </c>
      <c r="F32" s="72">
        <v>0.032339</v>
      </c>
      <c r="G32" s="257">
        <v>18.25</v>
      </c>
      <c r="H32" s="61">
        <f aca="true" t="shared" si="2" ref="H32:H42">D32*F32+E32*G32</f>
        <v>18265.543014000003</v>
      </c>
      <c r="I32" s="259">
        <f t="shared" si="1"/>
        <v>10959.3258084</v>
      </c>
    </row>
    <row r="33" spans="1:9" s="17" customFormat="1" ht="12.75" hidden="1" outlineLevel="1">
      <c r="A33" s="23">
        <v>37135</v>
      </c>
      <c r="B33" s="24">
        <v>37169</v>
      </c>
      <c r="C33" s="182">
        <v>1302.17</v>
      </c>
      <c r="D33" s="8">
        <f aca="true" t="shared" si="3" ref="D33:D42">(C33-C32)*1000</f>
        <v>225700.00000000006</v>
      </c>
      <c r="E33" s="188">
        <v>276</v>
      </c>
      <c r="F33" s="72">
        <v>0.032339</v>
      </c>
      <c r="G33" s="257">
        <v>18.25</v>
      </c>
      <c r="H33" s="61">
        <f t="shared" si="2"/>
        <v>12335.912300000002</v>
      </c>
      <c r="I33" s="260">
        <f t="shared" si="1"/>
        <v>7401.547380000001</v>
      </c>
    </row>
    <row r="34" spans="1:9" s="17" customFormat="1" ht="12.75" hidden="1" outlineLevel="1">
      <c r="A34" s="23">
        <v>37165</v>
      </c>
      <c r="B34" s="24">
        <v>37202</v>
      </c>
      <c r="C34" s="182">
        <v>1511.24</v>
      </c>
      <c r="D34" s="8">
        <f t="shared" si="3"/>
        <v>209069.99999999994</v>
      </c>
      <c r="E34" s="189">
        <v>261</v>
      </c>
      <c r="F34" s="72">
        <v>0.032339</v>
      </c>
      <c r="G34" s="257">
        <v>18.25</v>
      </c>
      <c r="H34" s="61">
        <f t="shared" si="2"/>
        <v>11524.364729999998</v>
      </c>
      <c r="I34" s="260">
        <f t="shared" si="1"/>
        <v>6914.6188379999985</v>
      </c>
    </row>
    <row r="35" spans="1:9" s="17" customFormat="1" ht="12.75" hidden="1" outlineLevel="1">
      <c r="A35" s="23">
        <v>37196</v>
      </c>
      <c r="B35" s="24">
        <v>37595</v>
      </c>
      <c r="C35" s="182">
        <v>1670.53</v>
      </c>
      <c r="D35" s="8">
        <f t="shared" si="3"/>
        <v>159289.99999999997</v>
      </c>
      <c r="E35" s="189">
        <v>264</v>
      </c>
      <c r="F35" s="72">
        <v>0.032339</v>
      </c>
      <c r="G35" s="257">
        <v>18.25</v>
      </c>
      <c r="H35" s="61">
        <f t="shared" si="2"/>
        <v>9969.279309999998</v>
      </c>
      <c r="I35" s="260">
        <f t="shared" si="1"/>
        <v>5981.567585999998</v>
      </c>
    </row>
    <row r="36" spans="1:9" s="17" customFormat="1" ht="12.75" hidden="1" outlineLevel="1">
      <c r="A36" s="23">
        <v>37226</v>
      </c>
      <c r="B36" s="24">
        <v>37263</v>
      </c>
      <c r="C36" s="182">
        <v>1848.48</v>
      </c>
      <c r="D36" s="8">
        <f t="shared" si="3"/>
        <v>177950.00000000006</v>
      </c>
      <c r="E36" s="189">
        <v>250</v>
      </c>
      <c r="F36" s="72">
        <v>0.032339</v>
      </c>
      <c r="G36" s="257">
        <v>18.25</v>
      </c>
      <c r="H36" s="61">
        <f t="shared" si="2"/>
        <v>10317.225050000001</v>
      </c>
      <c r="I36" s="260">
        <f t="shared" si="1"/>
        <v>6190.33503</v>
      </c>
    </row>
    <row r="37" spans="1:9" s="17" customFormat="1" ht="12.75" hidden="1" outlineLevel="1">
      <c r="A37" s="23">
        <v>37257</v>
      </c>
      <c r="B37" s="24">
        <v>37298</v>
      </c>
      <c r="C37" s="183">
        <v>2044.55</v>
      </c>
      <c r="D37" s="8">
        <f t="shared" si="3"/>
        <v>196069.99999999994</v>
      </c>
      <c r="E37" s="189">
        <v>270</v>
      </c>
      <c r="F37" s="72">
        <v>0.032339</v>
      </c>
      <c r="G37" s="257">
        <v>18.25</v>
      </c>
      <c r="H37" s="61">
        <f t="shared" si="2"/>
        <v>11268.207729999998</v>
      </c>
      <c r="I37" s="260">
        <f t="shared" si="1"/>
        <v>6760.924637999999</v>
      </c>
    </row>
    <row r="38" spans="1:9" s="17" customFormat="1" ht="12.75" hidden="1" outlineLevel="1">
      <c r="A38" s="23">
        <v>37288</v>
      </c>
      <c r="B38" s="24">
        <v>37323</v>
      </c>
      <c r="C38" s="182">
        <v>2185.13</v>
      </c>
      <c r="D38" s="8">
        <f t="shared" si="3"/>
        <v>140580.00000000015</v>
      </c>
      <c r="E38" s="189">
        <v>269</v>
      </c>
      <c r="F38" s="72">
        <v>0.032339</v>
      </c>
      <c r="G38" s="257">
        <v>18.25</v>
      </c>
      <c r="H38" s="61">
        <f t="shared" si="2"/>
        <v>9455.466620000005</v>
      </c>
      <c r="I38" s="260">
        <f t="shared" si="1"/>
        <v>5673.279972000003</v>
      </c>
    </row>
    <row r="39" spans="1:9" s="17" customFormat="1" ht="12.75" hidden="1" outlineLevel="1">
      <c r="A39" s="23">
        <v>37316</v>
      </c>
      <c r="B39" s="24">
        <v>37351</v>
      </c>
      <c r="C39" s="182">
        <v>2342.2</v>
      </c>
      <c r="D39" s="8">
        <f t="shared" si="3"/>
        <v>157069.9999999997</v>
      </c>
      <c r="E39" s="189">
        <v>307</v>
      </c>
      <c r="F39" s="72">
        <v>0.032339</v>
      </c>
      <c r="G39" s="257">
        <v>18.25</v>
      </c>
      <c r="H39" s="61">
        <f t="shared" si="2"/>
        <v>10682.23672999999</v>
      </c>
      <c r="I39" s="260">
        <f t="shared" si="1"/>
        <v>6409.342037999993</v>
      </c>
    </row>
    <row r="40" spans="1:9" s="17" customFormat="1" ht="12.75" hidden="1" outlineLevel="1">
      <c r="A40" s="23">
        <v>37347</v>
      </c>
      <c r="B40" s="24">
        <v>37393</v>
      </c>
      <c r="C40" s="182">
        <v>2594.19</v>
      </c>
      <c r="D40" s="8">
        <f t="shared" si="3"/>
        <v>251990.00000000023</v>
      </c>
      <c r="E40" s="189">
        <v>260</v>
      </c>
      <c r="F40" s="72">
        <v>0.032339</v>
      </c>
      <c r="G40" s="257">
        <v>18.25</v>
      </c>
      <c r="H40" s="61">
        <f t="shared" si="2"/>
        <v>12894.104610000008</v>
      </c>
      <c r="I40" s="260">
        <f t="shared" si="1"/>
        <v>7736.462766000004</v>
      </c>
    </row>
    <row r="41" spans="1:9" s="17" customFormat="1" ht="12.75" hidden="1" outlineLevel="1">
      <c r="A41" s="23">
        <v>37377</v>
      </c>
      <c r="B41" s="24">
        <v>37421</v>
      </c>
      <c r="C41" s="182">
        <v>2789.61</v>
      </c>
      <c r="D41" s="8">
        <f t="shared" si="3"/>
        <v>195420.00000000006</v>
      </c>
      <c r="E41" s="189">
        <v>260</v>
      </c>
      <c r="F41" s="72">
        <v>0.032339</v>
      </c>
      <c r="G41" s="257">
        <v>18.25</v>
      </c>
      <c r="H41" s="61">
        <f t="shared" si="2"/>
        <v>11064.687380000003</v>
      </c>
      <c r="I41" s="260">
        <f t="shared" si="1"/>
        <v>6638.812428000002</v>
      </c>
    </row>
    <row r="42" spans="1:9" s="17" customFormat="1" ht="13.5" hidden="1" outlineLevel="1" thickBot="1">
      <c r="A42" s="378">
        <v>37408</v>
      </c>
      <c r="B42" s="109">
        <v>37439</v>
      </c>
      <c r="C42" s="185">
        <v>2946.27</v>
      </c>
      <c r="D42" s="179">
        <f t="shared" si="3"/>
        <v>156659.99999999985</v>
      </c>
      <c r="E42" s="190">
        <v>563</v>
      </c>
      <c r="F42" s="72">
        <v>0.032339</v>
      </c>
      <c r="G42" s="257">
        <v>18.25</v>
      </c>
      <c r="H42" s="62">
        <f t="shared" si="2"/>
        <v>15340.977739999995</v>
      </c>
      <c r="I42" s="261">
        <f t="shared" si="1"/>
        <v>9204.586643999997</v>
      </c>
    </row>
    <row r="43" spans="1:9" s="154" customFormat="1" ht="12.75" collapsed="1">
      <c r="A43" s="379">
        <v>37438</v>
      </c>
      <c r="B43" s="158" t="s">
        <v>85</v>
      </c>
      <c r="C43" s="158" t="s">
        <v>85</v>
      </c>
      <c r="D43" s="159">
        <f>(D31+D19+D7)/3</f>
        <v>217200.66666666674</v>
      </c>
      <c r="E43" s="160">
        <f>(E31+E19)/2</f>
        <v>478</v>
      </c>
      <c r="F43" s="233">
        <v>0.066</v>
      </c>
      <c r="G43" s="102"/>
      <c r="H43" s="153">
        <f>D43*F43+E43*G43</f>
        <v>14335.244000000006</v>
      </c>
      <c r="I43" s="150">
        <f t="shared" si="1"/>
        <v>8601.146400000003</v>
      </c>
    </row>
    <row r="44" spans="1:9" s="154" customFormat="1" ht="12.75">
      <c r="A44" s="380">
        <v>37469</v>
      </c>
      <c r="B44" s="161" t="s">
        <v>85</v>
      </c>
      <c r="C44" s="162" t="s">
        <v>85</v>
      </c>
      <c r="D44" s="163">
        <f>(D32+D20+D8)/3</f>
        <v>260781.3333333334</v>
      </c>
      <c r="E44" s="164">
        <f>(E32+E20+E8)/3</f>
        <v>582.6666666666666</v>
      </c>
      <c r="F44" s="233">
        <v>0.066</v>
      </c>
      <c r="G44" s="165"/>
      <c r="H44" s="156">
        <f aca="true" t="shared" si="4" ref="H44:H54">D44*F44+E44*G44</f>
        <v>17211.568000000007</v>
      </c>
      <c r="I44" s="151">
        <f t="shared" si="1"/>
        <v>10326.940800000004</v>
      </c>
    </row>
    <row r="45" spans="1:11" s="154" customFormat="1" ht="12.75">
      <c r="A45" s="380">
        <v>37500</v>
      </c>
      <c r="B45" s="161" t="s">
        <v>85</v>
      </c>
      <c r="C45" s="162" t="s">
        <v>85</v>
      </c>
      <c r="D45" s="163">
        <f>(D33+D21+D9)/3</f>
        <v>259560.0000000001</v>
      </c>
      <c r="E45" s="164">
        <f>(E33+E21+E9)/3</f>
        <v>343.6666666666667</v>
      </c>
      <c r="F45" s="233">
        <v>0.066</v>
      </c>
      <c r="G45" s="103"/>
      <c r="H45" s="156">
        <f t="shared" si="4"/>
        <v>17130.960000000006</v>
      </c>
      <c r="I45" s="151">
        <f t="shared" si="1"/>
        <v>10278.576000000003</v>
      </c>
      <c r="K45" s="256"/>
    </row>
    <row r="46" spans="1:9" s="154" customFormat="1" ht="12.75">
      <c r="A46" s="23">
        <v>37530</v>
      </c>
      <c r="B46" s="24">
        <v>37571</v>
      </c>
      <c r="C46" s="25">
        <v>349770</v>
      </c>
      <c r="D46" s="166">
        <f>C46</f>
        <v>349770</v>
      </c>
      <c r="E46" s="164">
        <v>620</v>
      </c>
      <c r="F46" s="233">
        <v>0.066</v>
      </c>
      <c r="G46" s="103"/>
      <c r="H46" s="156">
        <f t="shared" si="4"/>
        <v>23084.82</v>
      </c>
      <c r="I46" s="151">
        <f t="shared" si="1"/>
        <v>13850.892</v>
      </c>
    </row>
    <row r="47" spans="1:9" s="154" customFormat="1" ht="12.75">
      <c r="A47" s="23">
        <v>37561</v>
      </c>
      <c r="B47" s="24">
        <v>37593</v>
      </c>
      <c r="C47" s="25">
        <v>576900</v>
      </c>
      <c r="D47" s="166">
        <f aca="true" t="shared" si="5" ref="D47:D54">C47-C46</f>
        <v>227130</v>
      </c>
      <c r="E47" s="167">
        <v>622</v>
      </c>
      <c r="F47" s="233">
        <v>0.066</v>
      </c>
      <c r="G47" s="165"/>
      <c r="H47" s="156">
        <f t="shared" si="4"/>
        <v>14990.58</v>
      </c>
      <c r="I47" s="151">
        <f t="shared" si="1"/>
        <v>8994.348</v>
      </c>
    </row>
    <row r="48" spans="1:9" s="154" customFormat="1" ht="12.75">
      <c r="A48" s="23">
        <v>37591</v>
      </c>
      <c r="B48" s="24">
        <v>37624</v>
      </c>
      <c r="C48" s="25">
        <v>887410</v>
      </c>
      <c r="D48" s="166">
        <f t="shared" si="5"/>
        <v>310510</v>
      </c>
      <c r="E48" s="167">
        <v>636</v>
      </c>
      <c r="F48" s="233">
        <v>0.066</v>
      </c>
      <c r="G48" s="156"/>
      <c r="H48" s="156">
        <f t="shared" si="4"/>
        <v>20493.66</v>
      </c>
      <c r="I48" s="151">
        <f t="shared" si="1"/>
        <v>12296.196</v>
      </c>
    </row>
    <row r="49" spans="1:9" s="147" customFormat="1" ht="12.75">
      <c r="A49" s="360">
        <v>37622</v>
      </c>
      <c r="B49" s="168">
        <v>37652</v>
      </c>
      <c r="C49" s="169">
        <v>1177610</v>
      </c>
      <c r="D49" s="170">
        <f t="shared" si="5"/>
        <v>290200</v>
      </c>
      <c r="E49" s="171">
        <v>645</v>
      </c>
      <c r="F49" s="233">
        <v>0.066</v>
      </c>
      <c r="G49" s="156"/>
      <c r="H49" s="156">
        <f t="shared" si="4"/>
        <v>19153.2</v>
      </c>
      <c r="I49" s="151">
        <f t="shared" si="1"/>
        <v>11491.92</v>
      </c>
    </row>
    <row r="50" spans="1:9" s="147" customFormat="1" ht="12.75">
      <c r="A50" s="360">
        <v>37653</v>
      </c>
      <c r="B50" s="168">
        <v>37680</v>
      </c>
      <c r="C50" s="169">
        <v>1472460</v>
      </c>
      <c r="D50" s="170">
        <f t="shared" si="5"/>
        <v>294850</v>
      </c>
      <c r="E50" s="171">
        <v>638</v>
      </c>
      <c r="F50" s="233">
        <v>0.066</v>
      </c>
      <c r="G50" s="172"/>
      <c r="H50" s="156">
        <f t="shared" si="4"/>
        <v>19460.100000000002</v>
      </c>
      <c r="I50" s="151">
        <f t="shared" si="1"/>
        <v>11676.060000000001</v>
      </c>
    </row>
    <row r="51" spans="1:10" s="147" customFormat="1" ht="12.75">
      <c r="A51" s="360">
        <v>37681</v>
      </c>
      <c r="B51" s="168">
        <v>37711</v>
      </c>
      <c r="C51" s="169">
        <v>1798700</v>
      </c>
      <c r="D51" s="170">
        <f t="shared" si="5"/>
        <v>326240</v>
      </c>
      <c r="E51" s="171">
        <v>623</v>
      </c>
      <c r="F51" s="233">
        <v>0.066</v>
      </c>
      <c r="G51" s="172"/>
      <c r="H51" s="156">
        <f t="shared" si="4"/>
        <v>21531.84</v>
      </c>
      <c r="I51" s="151">
        <f t="shared" si="1"/>
        <v>12919.104</v>
      </c>
      <c r="J51" s="97"/>
    </row>
    <row r="52" spans="1:10" s="147" customFormat="1" ht="12.75">
      <c r="A52" s="360">
        <v>37712</v>
      </c>
      <c r="B52" s="168">
        <v>37741</v>
      </c>
      <c r="C52" s="169">
        <v>2087530</v>
      </c>
      <c r="D52" s="170">
        <f t="shared" si="5"/>
        <v>288830</v>
      </c>
      <c r="E52" s="171">
        <v>643</v>
      </c>
      <c r="F52" s="233">
        <v>0.066</v>
      </c>
      <c r="G52" s="172"/>
      <c r="H52" s="156">
        <f t="shared" si="4"/>
        <v>19062.780000000002</v>
      </c>
      <c r="I52" s="151">
        <f t="shared" si="1"/>
        <v>11437.668000000001</v>
      </c>
      <c r="J52" s="97"/>
    </row>
    <row r="53" spans="1:9" s="147" customFormat="1" ht="12.75">
      <c r="A53" s="360">
        <v>37742</v>
      </c>
      <c r="B53" s="168">
        <v>37775</v>
      </c>
      <c r="C53" s="169">
        <v>2531690</v>
      </c>
      <c r="D53" s="170">
        <f t="shared" si="5"/>
        <v>444160</v>
      </c>
      <c r="E53" s="171">
        <v>925</v>
      </c>
      <c r="F53" s="233">
        <v>0.066</v>
      </c>
      <c r="G53" s="172"/>
      <c r="H53" s="156">
        <f t="shared" si="4"/>
        <v>29314.56</v>
      </c>
      <c r="I53" s="151">
        <f t="shared" si="1"/>
        <v>17588.736</v>
      </c>
    </row>
    <row r="54" spans="1:11" s="147" customFormat="1" ht="12.75" customHeight="1" thickBot="1">
      <c r="A54" s="152">
        <v>37773</v>
      </c>
      <c r="B54" s="173">
        <v>37803</v>
      </c>
      <c r="C54" s="174">
        <v>3150200</v>
      </c>
      <c r="D54" s="175">
        <f t="shared" si="5"/>
        <v>618510</v>
      </c>
      <c r="E54" s="176">
        <v>957</v>
      </c>
      <c r="F54" s="237">
        <v>0.066</v>
      </c>
      <c r="G54" s="177"/>
      <c r="H54" s="157">
        <f t="shared" si="4"/>
        <v>40821.66</v>
      </c>
      <c r="I54" s="148">
        <f t="shared" si="1"/>
        <v>24492.996000000003</v>
      </c>
      <c r="J54" s="97"/>
      <c r="K54" s="447"/>
    </row>
    <row r="55" spans="1:10" s="17" customFormat="1" ht="12.75">
      <c r="A55" s="23">
        <v>37803</v>
      </c>
      <c r="B55" s="24">
        <v>37834</v>
      </c>
      <c r="C55" s="330" t="s">
        <v>105</v>
      </c>
      <c r="D55" s="331">
        <f>D57</f>
        <v>459966.6666666667</v>
      </c>
      <c r="E55" s="187" t="s">
        <v>106</v>
      </c>
      <c r="F55" s="332">
        <v>0.071</v>
      </c>
      <c r="G55" s="333">
        <v>0</v>
      </c>
      <c r="H55" s="333">
        <f aca="true" t="shared" si="6" ref="H55:H66">D55*F55</f>
        <v>32657.63333333333</v>
      </c>
      <c r="I55" s="333">
        <f t="shared" si="1"/>
        <v>19594.579999999998</v>
      </c>
      <c r="J55" s="97"/>
    </row>
    <row r="56" spans="1:10" s="147" customFormat="1" ht="12.75">
      <c r="A56" s="360">
        <v>37834</v>
      </c>
      <c r="B56" s="168">
        <v>37866</v>
      </c>
      <c r="C56" s="169" t="s">
        <v>105</v>
      </c>
      <c r="D56" s="331">
        <f>D57</f>
        <v>459966.6666666667</v>
      </c>
      <c r="E56" s="197">
        <v>1104</v>
      </c>
      <c r="F56" s="233">
        <v>0.071</v>
      </c>
      <c r="G56" s="156">
        <v>0</v>
      </c>
      <c r="H56" s="333">
        <f t="shared" si="6"/>
        <v>32657.63333333333</v>
      </c>
      <c r="I56" s="151">
        <f t="shared" si="1"/>
        <v>19594.579999999998</v>
      </c>
      <c r="J56" s="97"/>
    </row>
    <row r="57" spans="1:10" s="147" customFormat="1" ht="12.75">
      <c r="A57" s="360">
        <v>37865</v>
      </c>
      <c r="B57" s="168">
        <v>37888</v>
      </c>
      <c r="C57" s="169">
        <v>4530100</v>
      </c>
      <c r="D57" s="331">
        <f>(C57-C54)/3</f>
        <v>459966.6666666667</v>
      </c>
      <c r="E57" s="197"/>
      <c r="F57" s="233">
        <v>0.071</v>
      </c>
      <c r="G57" s="156">
        <v>0</v>
      </c>
      <c r="H57" s="333">
        <f t="shared" si="6"/>
        <v>32657.63333333333</v>
      </c>
      <c r="I57" s="151">
        <f t="shared" si="1"/>
        <v>19594.579999999998</v>
      </c>
      <c r="J57" s="97"/>
    </row>
    <row r="58" spans="1:10" s="147" customFormat="1" ht="12.75">
      <c r="A58" s="360">
        <v>37895</v>
      </c>
      <c r="B58" s="168">
        <v>37918</v>
      </c>
      <c r="C58" s="169">
        <v>4899700</v>
      </c>
      <c r="D58" s="170">
        <f aca="true" t="shared" si="7" ref="D58:D63">C58-C57</f>
        <v>369600</v>
      </c>
      <c r="E58" s="169">
        <v>1095</v>
      </c>
      <c r="F58" s="233">
        <v>0.071</v>
      </c>
      <c r="G58" s="103">
        <v>0</v>
      </c>
      <c r="H58" s="333">
        <f t="shared" si="6"/>
        <v>26241.6</v>
      </c>
      <c r="I58" s="151">
        <f t="shared" si="1"/>
        <v>15744.96</v>
      </c>
      <c r="J58" s="97"/>
    </row>
    <row r="59" spans="1:10" s="147" customFormat="1" ht="12.75">
      <c r="A59" s="360">
        <v>37926</v>
      </c>
      <c r="B59" s="168">
        <v>37946</v>
      </c>
      <c r="C59" s="169">
        <v>5196000</v>
      </c>
      <c r="D59" s="170">
        <f t="shared" si="7"/>
        <v>296300</v>
      </c>
      <c r="E59" s="169">
        <v>984</v>
      </c>
      <c r="F59" s="233">
        <v>0.071</v>
      </c>
      <c r="G59" s="103">
        <v>0</v>
      </c>
      <c r="H59" s="333">
        <f t="shared" si="6"/>
        <v>21037.3</v>
      </c>
      <c r="I59" s="151">
        <f t="shared" si="1"/>
        <v>12622.38</v>
      </c>
      <c r="J59" s="97"/>
    </row>
    <row r="60" spans="1:10" s="147" customFormat="1" ht="12.75">
      <c r="A60" s="360">
        <v>37956</v>
      </c>
      <c r="B60" s="168">
        <v>38350</v>
      </c>
      <c r="C60" s="169">
        <v>5586600</v>
      </c>
      <c r="D60" s="170">
        <f t="shared" si="7"/>
        <v>390600</v>
      </c>
      <c r="E60" s="278">
        <v>645.5</v>
      </c>
      <c r="F60" s="334">
        <v>0.071</v>
      </c>
      <c r="G60" s="103">
        <v>0</v>
      </c>
      <c r="H60" s="335">
        <f t="shared" si="6"/>
        <v>27732.6</v>
      </c>
      <c r="I60" s="151">
        <f t="shared" si="1"/>
        <v>16639.559999999998</v>
      </c>
      <c r="J60" s="97"/>
    </row>
    <row r="61" spans="1:10" s="147" customFormat="1" ht="12.75">
      <c r="A61" s="360">
        <v>37987</v>
      </c>
      <c r="B61" s="168">
        <v>38015</v>
      </c>
      <c r="C61" s="169">
        <v>5905000</v>
      </c>
      <c r="D61" s="170">
        <f t="shared" si="7"/>
        <v>318400</v>
      </c>
      <c r="E61" s="169">
        <v>655.1</v>
      </c>
      <c r="F61" s="334">
        <v>0.071</v>
      </c>
      <c r="G61" s="103">
        <v>0</v>
      </c>
      <c r="H61" s="335">
        <f t="shared" si="6"/>
        <v>22606.399999999998</v>
      </c>
      <c r="I61" s="151">
        <f t="shared" si="1"/>
        <v>13563.839999999998</v>
      </c>
      <c r="J61" s="97"/>
    </row>
    <row r="62" spans="1:10" s="147" customFormat="1" ht="12.75">
      <c r="A62" s="360">
        <v>38018</v>
      </c>
      <c r="B62" s="168">
        <v>38042</v>
      </c>
      <c r="C62" s="169">
        <v>6202900</v>
      </c>
      <c r="D62" s="170">
        <f t="shared" si="7"/>
        <v>297900</v>
      </c>
      <c r="E62" s="169">
        <v>636.9</v>
      </c>
      <c r="F62" s="334">
        <v>0.071</v>
      </c>
      <c r="G62" s="165">
        <v>0</v>
      </c>
      <c r="H62" s="335">
        <f t="shared" si="6"/>
        <v>21150.899999999998</v>
      </c>
      <c r="I62" s="151">
        <f t="shared" si="1"/>
        <v>12690.539999999999</v>
      </c>
      <c r="J62" s="97"/>
    </row>
    <row r="63" spans="1:10" s="147" customFormat="1" ht="12.75">
      <c r="A63" s="360">
        <v>38047</v>
      </c>
      <c r="B63" s="168">
        <v>38069</v>
      </c>
      <c r="C63" s="169">
        <v>6495700</v>
      </c>
      <c r="D63" s="170">
        <f t="shared" si="7"/>
        <v>292800</v>
      </c>
      <c r="E63" s="169">
        <v>679.4</v>
      </c>
      <c r="F63" s="334">
        <v>0.071</v>
      </c>
      <c r="G63" s="165">
        <v>0</v>
      </c>
      <c r="H63" s="335">
        <f t="shared" si="6"/>
        <v>20788.8</v>
      </c>
      <c r="I63" s="151">
        <f t="shared" si="1"/>
        <v>12473.279999999999</v>
      </c>
      <c r="J63" s="97"/>
    </row>
    <row r="64" spans="1:10" s="147" customFormat="1" ht="12.75">
      <c r="A64" s="360">
        <v>38078</v>
      </c>
      <c r="B64" s="168">
        <v>38104</v>
      </c>
      <c r="C64" s="169">
        <v>6910500</v>
      </c>
      <c r="D64" s="170">
        <f aca="true" t="shared" si="8" ref="D64:D69">C64-C63</f>
        <v>414800</v>
      </c>
      <c r="E64" s="169">
        <v>679.4</v>
      </c>
      <c r="F64" s="334">
        <v>0.071</v>
      </c>
      <c r="G64" s="165">
        <v>0</v>
      </c>
      <c r="H64" s="335">
        <f t="shared" si="6"/>
        <v>29450.799999999996</v>
      </c>
      <c r="I64" s="151">
        <f t="shared" si="1"/>
        <v>17670.479999999996</v>
      </c>
      <c r="J64" s="97"/>
    </row>
    <row r="65" spans="1:11" s="147" customFormat="1" ht="12.75">
      <c r="A65" s="360">
        <v>38108</v>
      </c>
      <c r="B65" s="168">
        <v>38133</v>
      </c>
      <c r="C65" s="169">
        <v>7311200</v>
      </c>
      <c r="D65" s="170">
        <f t="shared" si="8"/>
        <v>400700</v>
      </c>
      <c r="E65" s="169">
        <v>679.4</v>
      </c>
      <c r="F65" s="334">
        <v>0.071</v>
      </c>
      <c r="G65" s="165">
        <v>0</v>
      </c>
      <c r="H65" s="335">
        <f t="shared" si="6"/>
        <v>28449.699999999997</v>
      </c>
      <c r="I65" s="151">
        <f t="shared" si="1"/>
        <v>17069.819999999996</v>
      </c>
      <c r="J65" s="147" t="s">
        <v>119</v>
      </c>
      <c r="K65" s="147" t="s">
        <v>8</v>
      </c>
    </row>
    <row r="66" spans="1:11" s="147" customFormat="1" ht="12.75" customHeight="1" thickBot="1">
      <c r="A66" s="361">
        <v>38139</v>
      </c>
      <c r="B66" s="210">
        <v>38161</v>
      </c>
      <c r="C66" s="278">
        <v>7776900</v>
      </c>
      <c r="D66" s="336">
        <f t="shared" si="8"/>
        <v>465700</v>
      </c>
      <c r="E66" s="337">
        <v>1434.3</v>
      </c>
      <c r="F66" s="237">
        <v>0.071</v>
      </c>
      <c r="G66" s="338">
        <v>0</v>
      </c>
      <c r="H66" s="339">
        <f t="shared" si="6"/>
        <v>33064.7</v>
      </c>
      <c r="I66" s="340">
        <f t="shared" si="1"/>
        <v>19838.819999999996</v>
      </c>
      <c r="J66" s="97">
        <f>SUM(D55:D66)</f>
        <v>4626700</v>
      </c>
      <c r="K66" s="447">
        <f>SUM(I55:I66)</f>
        <v>197097.41999999998</v>
      </c>
    </row>
    <row r="67" spans="1:10" s="147" customFormat="1" ht="12.75" customHeight="1">
      <c r="A67" s="360">
        <v>38195</v>
      </c>
      <c r="B67" s="191">
        <v>38195</v>
      </c>
      <c r="C67" s="393">
        <v>8451900</v>
      </c>
      <c r="D67" s="192">
        <f t="shared" si="8"/>
        <v>675000</v>
      </c>
      <c r="E67" s="394">
        <v>1434.3</v>
      </c>
      <c r="F67" s="332">
        <v>0.081</v>
      </c>
      <c r="G67" s="102">
        <v>0</v>
      </c>
      <c r="H67" s="150">
        <f aca="true" t="shared" si="9" ref="H67:H78">D67*F67</f>
        <v>54675</v>
      </c>
      <c r="I67" s="395">
        <f aca="true" t="shared" si="10" ref="I67:I81">H67*0.6</f>
        <v>32805</v>
      </c>
      <c r="J67" s="534"/>
    </row>
    <row r="68" spans="1:10" s="147" customFormat="1" ht="12.75" customHeight="1">
      <c r="A68" s="360">
        <v>38200</v>
      </c>
      <c r="B68" s="168">
        <v>38229</v>
      </c>
      <c r="C68" s="396">
        <v>9107400</v>
      </c>
      <c r="D68" s="170">
        <f t="shared" si="8"/>
        <v>655500</v>
      </c>
      <c r="E68" s="397">
        <v>1337.2</v>
      </c>
      <c r="F68" s="233">
        <v>0.081</v>
      </c>
      <c r="G68" s="103">
        <v>0</v>
      </c>
      <c r="H68" s="151">
        <f t="shared" si="9"/>
        <v>53095.5</v>
      </c>
      <c r="I68" s="398">
        <f t="shared" si="10"/>
        <v>31857.3</v>
      </c>
      <c r="J68" s="97"/>
    </row>
    <row r="69" spans="1:11" s="147" customFormat="1" ht="12.75" customHeight="1">
      <c r="A69" s="360">
        <v>38231</v>
      </c>
      <c r="B69" s="168">
        <v>38257</v>
      </c>
      <c r="C69" s="396">
        <v>9664900</v>
      </c>
      <c r="D69" s="170">
        <f t="shared" si="8"/>
        <v>557500</v>
      </c>
      <c r="E69" s="397">
        <v>1235.3</v>
      </c>
      <c r="F69" s="233">
        <v>0.081</v>
      </c>
      <c r="G69" s="103">
        <v>0</v>
      </c>
      <c r="H69" s="151">
        <f t="shared" si="9"/>
        <v>45157.5</v>
      </c>
      <c r="I69" s="398">
        <f t="shared" si="10"/>
        <v>27094.5</v>
      </c>
      <c r="J69" s="97"/>
      <c r="K69" s="97"/>
    </row>
    <row r="70" spans="1:10" s="147" customFormat="1" ht="12.75" customHeight="1">
      <c r="A70" s="360">
        <v>38261</v>
      </c>
      <c r="B70" s="168">
        <v>38288</v>
      </c>
      <c r="C70" s="396">
        <v>10043800</v>
      </c>
      <c r="D70" s="170">
        <f aca="true" t="shared" si="11" ref="D70:D75">C70-C69</f>
        <v>378900</v>
      </c>
      <c r="E70" s="397">
        <v>1077.1</v>
      </c>
      <c r="F70" s="233">
        <v>0.081</v>
      </c>
      <c r="G70" s="103">
        <v>0</v>
      </c>
      <c r="H70" s="151">
        <f t="shared" si="9"/>
        <v>30690.9</v>
      </c>
      <c r="I70" s="398">
        <f t="shared" si="10"/>
        <v>18414.54</v>
      </c>
      <c r="J70" s="97"/>
    </row>
    <row r="71" spans="1:10" s="147" customFormat="1" ht="12.75" customHeight="1">
      <c r="A71" s="360">
        <v>38292</v>
      </c>
      <c r="B71" s="168">
        <v>38320</v>
      </c>
      <c r="C71" s="396">
        <v>10380800</v>
      </c>
      <c r="D71" s="170">
        <f t="shared" si="11"/>
        <v>337000</v>
      </c>
      <c r="E71" s="397">
        <v>1078.8</v>
      </c>
      <c r="F71" s="233">
        <v>0.081</v>
      </c>
      <c r="G71" s="103">
        <v>0</v>
      </c>
      <c r="H71" s="151">
        <f t="shared" si="9"/>
        <v>27297</v>
      </c>
      <c r="I71" s="398">
        <f t="shared" si="10"/>
        <v>16378.199999999999</v>
      </c>
      <c r="J71" s="97"/>
    </row>
    <row r="72" spans="1:10" s="147" customFormat="1" ht="12.75" customHeight="1">
      <c r="A72" s="360">
        <v>38322</v>
      </c>
      <c r="B72" s="168">
        <v>38355</v>
      </c>
      <c r="C72" s="396">
        <v>10719200</v>
      </c>
      <c r="D72" s="170">
        <f t="shared" si="11"/>
        <v>338400</v>
      </c>
      <c r="E72" s="397">
        <v>611.7</v>
      </c>
      <c r="F72" s="233">
        <v>0.081</v>
      </c>
      <c r="G72" s="103">
        <v>0</v>
      </c>
      <c r="H72" s="151">
        <f t="shared" si="9"/>
        <v>27410.4</v>
      </c>
      <c r="I72" s="398">
        <f t="shared" si="10"/>
        <v>16446.24</v>
      </c>
      <c r="J72" s="97"/>
    </row>
    <row r="73" spans="1:10" s="147" customFormat="1" ht="12.75" customHeight="1">
      <c r="A73" s="360">
        <v>38353</v>
      </c>
      <c r="B73" s="168">
        <v>38383</v>
      </c>
      <c r="C73" s="396">
        <v>11001900</v>
      </c>
      <c r="D73" s="170">
        <f t="shared" si="11"/>
        <v>282700</v>
      </c>
      <c r="E73" s="397">
        <v>625.7</v>
      </c>
      <c r="F73" s="233">
        <v>0.081</v>
      </c>
      <c r="G73" s="103">
        <v>0</v>
      </c>
      <c r="H73" s="151">
        <f t="shared" si="9"/>
        <v>22898.7</v>
      </c>
      <c r="I73" s="398">
        <f t="shared" si="10"/>
        <v>13739.22</v>
      </c>
      <c r="J73" s="97"/>
    </row>
    <row r="74" spans="1:10" s="147" customFormat="1" ht="12.75" customHeight="1">
      <c r="A74" s="360">
        <v>38384</v>
      </c>
      <c r="B74" s="168">
        <v>38411</v>
      </c>
      <c r="C74" s="396">
        <v>11289200</v>
      </c>
      <c r="D74" s="170">
        <f t="shared" si="11"/>
        <v>287300</v>
      </c>
      <c r="E74" s="397">
        <v>694.9</v>
      </c>
      <c r="F74" s="233">
        <v>0.081</v>
      </c>
      <c r="G74" s="103">
        <v>0</v>
      </c>
      <c r="H74" s="151">
        <f t="shared" si="9"/>
        <v>23271.3</v>
      </c>
      <c r="I74" s="398">
        <f t="shared" si="10"/>
        <v>13962.779999999999</v>
      </c>
      <c r="J74" s="97"/>
    </row>
    <row r="75" spans="1:10" s="147" customFormat="1" ht="12.75" customHeight="1">
      <c r="A75" s="360">
        <v>38412</v>
      </c>
      <c r="B75" s="168">
        <v>38433</v>
      </c>
      <c r="C75" s="396">
        <v>11509700</v>
      </c>
      <c r="D75" s="170">
        <f t="shared" si="11"/>
        <v>220500</v>
      </c>
      <c r="E75" s="397">
        <v>599.9</v>
      </c>
      <c r="F75" s="233">
        <v>0.081</v>
      </c>
      <c r="G75" s="103">
        <v>0</v>
      </c>
      <c r="H75" s="151">
        <f t="shared" si="9"/>
        <v>17860.5</v>
      </c>
      <c r="I75" s="398">
        <f t="shared" si="10"/>
        <v>10716.3</v>
      </c>
      <c r="J75" s="97"/>
    </row>
    <row r="76" spans="1:10" s="154" customFormat="1" ht="12.75" customHeight="1">
      <c r="A76" s="360">
        <v>38443</v>
      </c>
      <c r="B76" s="168">
        <v>38468</v>
      </c>
      <c r="C76" s="396">
        <v>11889700</v>
      </c>
      <c r="D76" s="170">
        <f>C76-C75</f>
        <v>380000</v>
      </c>
      <c r="E76" s="397">
        <v>998.7</v>
      </c>
      <c r="F76" s="233">
        <v>0.081</v>
      </c>
      <c r="G76" s="103">
        <v>0</v>
      </c>
      <c r="H76" s="151">
        <f t="shared" si="9"/>
        <v>30780</v>
      </c>
      <c r="I76" s="398">
        <f t="shared" si="10"/>
        <v>18468</v>
      </c>
      <c r="J76" s="97"/>
    </row>
    <row r="77" spans="1:11" s="154" customFormat="1" ht="12.75" customHeight="1">
      <c r="A77" s="360">
        <v>38473</v>
      </c>
      <c r="B77" s="168">
        <v>38498</v>
      </c>
      <c r="C77" s="396">
        <v>12212400</v>
      </c>
      <c r="D77" s="170">
        <f>C77-C76</f>
        <v>322700</v>
      </c>
      <c r="E77" s="397">
        <v>1023.3</v>
      </c>
      <c r="F77" s="233">
        <v>0.081</v>
      </c>
      <c r="G77" s="103">
        <v>0</v>
      </c>
      <c r="H77" s="151">
        <f t="shared" si="9"/>
        <v>26138.7</v>
      </c>
      <c r="I77" s="398">
        <f t="shared" si="10"/>
        <v>15683.22</v>
      </c>
      <c r="J77" s="147" t="s">
        <v>119</v>
      </c>
      <c r="K77" s="147" t="s">
        <v>8</v>
      </c>
    </row>
    <row r="78" spans="1:11" s="154" customFormat="1" ht="12.75" customHeight="1" thickBot="1">
      <c r="A78" s="152">
        <v>38504</v>
      </c>
      <c r="B78" s="173">
        <v>38530</v>
      </c>
      <c r="C78" s="399">
        <v>12776900</v>
      </c>
      <c r="D78" s="175">
        <f>C78-C77</f>
        <v>564500</v>
      </c>
      <c r="E78" s="400">
        <v>1365.5</v>
      </c>
      <c r="F78" s="401">
        <v>0.081</v>
      </c>
      <c r="G78" s="402">
        <v>0</v>
      </c>
      <c r="H78" s="148">
        <f t="shared" si="9"/>
        <v>45724.5</v>
      </c>
      <c r="I78" s="403">
        <f t="shared" si="10"/>
        <v>27434.7</v>
      </c>
      <c r="J78" s="97">
        <f>SUM(D67:D78)</f>
        <v>5000000</v>
      </c>
      <c r="K78" s="447">
        <f>SUM(I67:I78)</f>
        <v>243000</v>
      </c>
    </row>
    <row r="79" spans="1:10" s="17" customFormat="1" ht="12.75">
      <c r="A79" s="114">
        <v>38534</v>
      </c>
      <c r="B79" s="113">
        <v>38561</v>
      </c>
      <c r="C79" s="441">
        <v>13444400</v>
      </c>
      <c r="D79" s="192">
        <f>C79-C78</f>
        <v>667500</v>
      </c>
      <c r="E79" s="123">
        <v>1439.7</v>
      </c>
      <c r="F79" s="332">
        <v>0.081</v>
      </c>
      <c r="G79" s="101">
        <v>0</v>
      </c>
      <c r="H79" s="150">
        <f>D79*F79</f>
        <v>54067.5</v>
      </c>
      <c r="I79" s="395">
        <f t="shared" si="10"/>
        <v>32440.5</v>
      </c>
      <c r="J79" s="534">
        <f>(J78-J66)/J66</f>
        <v>0.08068385674454795</v>
      </c>
    </row>
    <row r="80" spans="1:10" s="147" customFormat="1" ht="12.75">
      <c r="A80" s="360">
        <v>38565</v>
      </c>
      <c r="B80" s="168">
        <v>38593</v>
      </c>
      <c r="C80" s="169">
        <v>14183700</v>
      </c>
      <c r="D80" s="170">
        <f>C80-C79</f>
        <v>739300</v>
      </c>
      <c r="E80" s="93">
        <v>1236.5</v>
      </c>
      <c r="F80" s="233">
        <v>0.081</v>
      </c>
      <c r="G80" s="156">
        <v>0</v>
      </c>
      <c r="H80" s="151">
        <f>D80*F80</f>
        <v>59883.3</v>
      </c>
      <c r="I80" s="398">
        <f t="shared" si="10"/>
        <v>35929.98</v>
      </c>
      <c r="J80" s="97"/>
    </row>
    <row r="81" spans="1:10" s="147" customFormat="1" ht="12.75">
      <c r="A81" s="360">
        <v>38596</v>
      </c>
      <c r="B81" s="168">
        <v>38623</v>
      </c>
      <c r="C81" s="169">
        <v>14861500</v>
      </c>
      <c r="D81" s="170">
        <f>IF(C81="","",C81-C80)</f>
        <v>677800</v>
      </c>
      <c r="E81" s="93">
        <v>1221.9</v>
      </c>
      <c r="F81" s="233">
        <v>0.081</v>
      </c>
      <c r="G81" s="156">
        <v>0</v>
      </c>
      <c r="H81" s="151">
        <f>D81*F81</f>
        <v>54901.8</v>
      </c>
      <c r="I81" s="398">
        <f t="shared" si="10"/>
        <v>32941.08</v>
      </c>
      <c r="J81" s="97"/>
    </row>
    <row r="82" spans="1:11" s="147" customFormat="1" ht="12.75">
      <c r="A82" s="360">
        <v>38626</v>
      </c>
      <c r="B82" s="168">
        <v>38652</v>
      </c>
      <c r="C82" s="169">
        <v>15292800</v>
      </c>
      <c r="D82" s="197">
        <f aca="true" t="shared" si="12" ref="D82:D90">IF(C82="","",C82-C81)</f>
        <v>431300</v>
      </c>
      <c r="E82" s="396">
        <v>1229</v>
      </c>
      <c r="F82" s="334">
        <v>0.081</v>
      </c>
      <c r="G82" s="103">
        <v>0</v>
      </c>
      <c r="H82" s="151">
        <f>IF(D82="","",D82*F82)</f>
        <v>34935.3</v>
      </c>
      <c r="I82" s="398">
        <f>IF(H82="","",H82*0.6)</f>
        <v>20961.18</v>
      </c>
      <c r="J82" s="97"/>
      <c r="K82" s="97"/>
    </row>
    <row r="83" spans="1:10" s="147" customFormat="1" ht="12.75">
      <c r="A83" s="360">
        <v>38657</v>
      </c>
      <c r="B83" s="168">
        <v>38679</v>
      </c>
      <c r="C83" s="169">
        <v>15595900</v>
      </c>
      <c r="D83" s="197">
        <f t="shared" si="12"/>
        <v>303100</v>
      </c>
      <c r="E83" s="396">
        <v>883.9</v>
      </c>
      <c r="F83" s="334">
        <v>0.081</v>
      </c>
      <c r="G83" s="103">
        <v>0</v>
      </c>
      <c r="H83" s="151">
        <f aca="true" t="shared" si="13" ref="H83:H90">IF(D83="","",D83*F83)</f>
        <v>24551.100000000002</v>
      </c>
      <c r="I83" s="398">
        <f aca="true" t="shared" si="14" ref="I83:I90">IF(H83="","",H83*0.6)</f>
        <v>14730.660000000002</v>
      </c>
      <c r="J83" s="97"/>
    </row>
    <row r="84" spans="1:10" s="147" customFormat="1" ht="12.75">
      <c r="A84" s="360">
        <v>38687</v>
      </c>
      <c r="B84" s="168">
        <v>38701</v>
      </c>
      <c r="C84" s="169">
        <v>15829900</v>
      </c>
      <c r="D84" s="197">
        <f t="shared" si="12"/>
        <v>234000</v>
      </c>
      <c r="E84" s="396">
        <v>636.2</v>
      </c>
      <c r="F84" s="334">
        <v>0.081</v>
      </c>
      <c r="G84" s="103">
        <v>0</v>
      </c>
      <c r="H84" s="151">
        <f t="shared" si="13"/>
        <v>18954</v>
      </c>
      <c r="I84" s="398">
        <f t="shared" si="14"/>
        <v>11372.4</v>
      </c>
      <c r="J84" s="97"/>
    </row>
    <row r="85" spans="1:10" s="147" customFormat="1" ht="12.75">
      <c r="A85" s="360">
        <v>38718</v>
      </c>
      <c r="B85" s="168">
        <v>38736</v>
      </c>
      <c r="C85" s="169">
        <v>16194200</v>
      </c>
      <c r="D85" s="197">
        <f t="shared" si="12"/>
        <v>364300</v>
      </c>
      <c r="E85" s="396">
        <v>661.6</v>
      </c>
      <c r="F85" s="334">
        <v>0.081</v>
      </c>
      <c r="G85" s="103">
        <v>0</v>
      </c>
      <c r="H85" s="151">
        <f t="shared" si="13"/>
        <v>29508.3</v>
      </c>
      <c r="I85" s="398">
        <f t="shared" si="14"/>
        <v>17704.98</v>
      </c>
      <c r="J85" s="97"/>
    </row>
    <row r="86" spans="1:10" s="147" customFormat="1" ht="12.75">
      <c r="A86" s="360">
        <v>38749</v>
      </c>
      <c r="B86" s="168">
        <v>38764</v>
      </c>
      <c r="C86" s="169">
        <v>16503400</v>
      </c>
      <c r="D86" s="197">
        <f t="shared" si="12"/>
        <v>309200</v>
      </c>
      <c r="E86" s="396">
        <v>660.4</v>
      </c>
      <c r="F86" s="334">
        <v>0.081</v>
      </c>
      <c r="G86" s="165">
        <v>0</v>
      </c>
      <c r="H86" s="151">
        <f t="shared" si="13"/>
        <v>25045.2</v>
      </c>
      <c r="I86" s="398">
        <f t="shared" si="14"/>
        <v>15027.119999999999</v>
      </c>
      <c r="J86" s="97"/>
    </row>
    <row r="87" spans="1:10" s="147" customFormat="1" ht="12.75">
      <c r="A87" s="360">
        <v>38777</v>
      </c>
      <c r="B87" s="168">
        <v>38791</v>
      </c>
      <c r="C87" s="169">
        <v>16795900</v>
      </c>
      <c r="D87" s="197">
        <f t="shared" si="12"/>
        <v>292500</v>
      </c>
      <c r="E87" s="396">
        <v>608.4</v>
      </c>
      <c r="F87" s="334">
        <v>0.081</v>
      </c>
      <c r="G87" s="165">
        <v>0</v>
      </c>
      <c r="H87" s="151">
        <f t="shared" si="13"/>
        <v>23692.5</v>
      </c>
      <c r="I87" s="398">
        <f t="shared" si="14"/>
        <v>14215.5</v>
      </c>
      <c r="J87" s="97"/>
    </row>
    <row r="88" spans="1:10" s="147" customFormat="1" ht="12.75">
      <c r="A88" s="360">
        <v>38808</v>
      </c>
      <c r="B88" s="168">
        <v>38824</v>
      </c>
      <c r="C88" s="169">
        <v>17138500</v>
      </c>
      <c r="D88" s="197">
        <f t="shared" si="12"/>
        <v>342600</v>
      </c>
      <c r="E88" s="396">
        <v>575.7</v>
      </c>
      <c r="F88" s="334">
        <v>0.081</v>
      </c>
      <c r="G88" s="165">
        <v>0</v>
      </c>
      <c r="H88" s="151">
        <f t="shared" si="13"/>
        <v>27750.600000000002</v>
      </c>
      <c r="I88" s="398">
        <f t="shared" si="14"/>
        <v>16650.36</v>
      </c>
      <c r="J88" s="97"/>
    </row>
    <row r="89" spans="1:11" s="147" customFormat="1" ht="12.75">
      <c r="A89" s="360">
        <v>38838</v>
      </c>
      <c r="B89" s="168">
        <v>38856</v>
      </c>
      <c r="C89" s="169">
        <v>17481100</v>
      </c>
      <c r="D89" s="197">
        <f t="shared" si="12"/>
        <v>342600</v>
      </c>
      <c r="E89" s="396">
        <v>948.5</v>
      </c>
      <c r="F89" s="334">
        <v>0.081</v>
      </c>
      <c r="G89" s="165">
        <v>0</v>
      </c>
      <c r="H89" s="151">
        <f t="shared" si="13"/>
        <v>27750.600000000002</v>
      </c>
      <c r="I89" s="398">
        <f t="shared" si="14"/>
        <v>16650.36</v>
      </c>
      <c r="J89" s="147" t="s">
        <v>119</v>
      </c>
      <c r="K89" s="147" t="s">
        <v>8</v>
      </c>
    </row>
    <row r="90" spans="1:11" s="147" customFormat="1" ht="12.75" customHeight="1" thickBot="1">
      <c r="A90" s="361">
        <v>38869</v>
      </c>
      <c r="B90" s="210">
        <v>38882</v>
      </c>
      <c r="C90" s="278">
        <v>17926500</v>
      </c>
      <c r="D90" s="279">
        <f t="shared" si="12"/>
        <v>445400</v>
      </c>
      <c r="E90" s="443">
        <v>1203.8</v>
      </c>
      <c r="F90" s="442">
        <v>0.081</v>
      </c>
      <c r="G90" s="338">
        <v>0</v>
      </c>
      <c r="H90" s="340">
        <f t="shared" si="13"/>
        <v>36077.4</v>
      </c>
      <c r="I90" s="444">
        <f t="shared" si="14"/>
        <v>21646.44</v>
      </c>
      <c r="J90" s="97">
        <f>SUM(D79:D90)</f>
        <v>5149600</v>
      </c>
      <c r="K90" s="447">
        <f>SUM(I79:I90)</f>
        <v>250270.56</v>
      </c>
    </row>
    <row r="91" spans="1:10" s="17" customFormat="1" ht="12.75">
      <c r="A91" s="114">
        <v>38899</v>
      </c>
      <c r="B91" s="113">
        <v>38915</v>
      </c>
      <c r="C91" s="441">
        <v>18556700</v>
      </c>
      <c r="D91" s="192">
        <f>C91-C90</f>
        <v>630200</v>
      </c>
      <c r="E91" s="123">
        <v>1221.8</v>
      </c>
      <c r="F91" s="473">
        <v>0.08700000000000001</v>
      </c>
      <c r="G91" s="258">
        <v>0</v>
      </c>
      <c r="H91" s="150">
        <f>D91*F91</f>
        <v>54827.4</v>
      </c>
      <c r="I91" s="395">
        <f>H91*0.6</f>
        <v>32896.44</v>
      </c>
      <c r="J91" s="534">
        <f>(J90-J78)/J78</f>
        <v>0.02992</v>
      </c>
    </row>
    <row r="92" spans="1:10" s="147" customFormat="1" ht="12.75">
      <c r="A92" s="360">
        <v>38930</v>
      </c>
      <c r="B92" s="168">
        <v>38944</v>
      </c>
      <c r="C92" s="169">
        <v>19188700</v>
      </c>
      <c r="D92" s="170">
        <f>C92-C91</f>
        <v>632000</v>
      </c>
      <c r="E92" s="93">
        <v>1289.7</v>
      </c>
      <c r="F92" s="474">
        <v>0.08700000000000001</v>
      </c>
      <c r="G92" s="103">
        <v>0</v>
      </c>
      <c r="H92" s="151">
        <f>D92*F92</f>
        <v>54984.00000000001</v>
      </c>
      <c r="I92" s="398">
        <f>H92*0.6</f>
        <v>32990.4</v>
      </c>
      <c r="J92" s="97"/>
    </row>
    <row r="93" spans="1:11" s="147" customFormat="1" ht="12.75">
      <c r="A93" s="360">
        <v>38961</v>
      </c>
      <c r="B93" s="168">
        <v>38975</v>
      </c>
      <c r="C93" s="169">
        <v>19777000</v>
      </c>
      <c r="D93" s="170">
        <f>IF(C93="","",C93-C92)</f>
        <v>588300</v>
      </c>
      <c r="E93" s="93">
        <v>1102.2</v>
      </c>
      <c r="F93" s="474">
        <v>0.08700000000000001</v>
      </c>
      <c r="G93" s="103">
        <v>0</v>
      </c>
      <c r="H93" s="151">
        <f>D93*F93</f>
        <v>51182.100000000006</v>
      </c>
      <c r="I93" s="398">
        <f>H93*0.6</f>
        <v>30709.260000000002</v>
      </c>
      <c r="J93" s="97"/>
      <c r="K93" s="97"/>
    </row>
    <row r="94" spans="1:10" s="147" customFormat="1" ht="12.75">
      <c r="A94" s="360">
        <v>38991</v>
      </c>
      <c r="B94" s="168">
        <v>39003</v>
      </c>
      <c r="C94" s="169">
        <v>20150100</v>
      </c>
      <c r="D94" s="170">
        <f aca="true" t="shared" si="15" ref="D94:D102">IF(C94="","",C94-C93)</f>
        <v>373100</v>
      </c>
      <c r="E94" s="93">
        <v>1026.2</v>
      </c>
      <c r="F94" s="474">
        <v>0.08700000000000001</v>
      </c>
      <c r="G94" s="103">
        <v>0</v>
      </c>
      <c r="H94" s="151">
        <f>IF(D94="","",D94*F94)</f>
        <v>32459.700000000004</v>
      </c>
      <c r="I94" s="398">
        <f>IF(H94="","",H94*0.6)</f>
        <v>19475.820000000003</v>
      </c>
      <c r="J94" s="97"/>
    </row>
    <row r="95" spans="1:10" s="147" customFormat="1" ht="12.75">
      <c r="A95" s="360">
        <v>39022</v>
      </c>
      <c r="B95" s="168">
        <v>39036</v>
      </c>
      <c r="C95" s="169">
        <v>20534500</v>
      </c>
      <c r="D95" s="170">
        <f t="shared" si="15"/>
        <v>384400</v>
      </c>
      <c r="E95" s="93">
        <v>832.3</v>
      </c>
      <c r="F95" s="474">
        <v>0.08700000000000001</v>
      </c>
      <c r="G95" s="103">
        <v>0</v>
      </c>
      <c r="H95" s="151">
        <f aca="true" t="shared" si="16" ref="H95:H102">IF(D95="","",D95*F95)</f>
        <v>33442.8</v>
      </c>
      <c r="I95" s="398">
        <f aca="true" t="shared" si="17" ref="I95:I102">IF(H95="","",H95*0.6)</f>
        <v>20065.68</v>
      </c>
      <c r="J95" s="97"/>
    </row>
    <row r="96" spans="1:10" s="147" customFormat="1" ht="12.75">
      <c r="A96" s="360">
        <v>39052</v>
      </c>
      <c r="B96" s="168">
        <v>39065</v>
      </c>
      <c r="C96" s="169">
        <v>20865800</v>
      </c>
      <c r="D96" s="170">
        <f t="shared" si="15"/>
        <v>331300</v>
      </c>
      <c r="E96" s="93">
        <v>636.6</v>
      </c>
      <c r="F96" s="474">
        <v>0.08700000000000001</v>
      </c>
      <c r="G96" s="103">
        <v>0</v>
      </c>
      <c r="H96" s="151">
        <f t="shared" si="16"/>
        <v>28823.100000000002</v>
      </c>
      <c r="I96" s="398">
        <f t="shared" si="17"/>
        <v>17293.86</v>
      </c>
      <c r="J96" s="97"/>
    </row>
    <row r="97" spans="1:10" s="147" customFormat="1" ht="12.75">
      <c r="A97" s="360">
        <v>39083</v>
      </c>
      <c r="B97" s="168">
        <v>39097</v>
      </c>
      <c r="C97" s="169">
        <v>21211300</v>
      </c>
      <c r="D97" s="170">
        <f t="shared" si="15"/>
        <v>345500</v>
      </c>
      <c r="E97" s="396">
        <v>642</v>
      </c>
      <c r="F97" s="474">
        <v>0.08700000000000001</v>
      </c>
      <c r="G97" s="103">
        <v>0</v>
      </c>
      <c r="H97" s="151">
        <f t="shared" si="16"/>
        <v>30058.500000000004</v>
      </c>
      <c r="I97" s="398">
        <f t="shared" si="17"/>
        <v>18035.100000000002</v>
      </c>
      <c r="J97" s="97"/>
    </row>
    <row r="98" spans="1:9" s="147" customFormat="1" ht="12.75">
      <c r="A98" s="360">
        <v>39114</v>
      </c>
      <c r="B98" s="168">
        <v>39128</v>
      </c>
      <c r="C98" s="169">
        <v>21560900</v>
      </c>
      <c r="D98" s="170">
        <f t="shared" si="15"/>
        <v>349600</v>
      </c>
      <c r="E98" s="396">
        <v>637</v>
      </c>
      <c r="F98" s="474">
        <v>0.08700000000000001</v>
      </c>
      <c r="G98" s="165">
        <v>0</v>
      </c>
      <c r="H98" s="151">
        <f t="shared" si="16"/>
        <v>30415.200000000004</v>
      </c>
      <c r="I98" s="398">
        <f t="shared" si="17"/>
        <v>18249.120000000003</v>
      </c>
    </row>
    <row r="99" spans="1:9" s="18" customFormat="1" ht="12.75">
      <c r="A99" s="486">
        <v>39142</v>
      </c>
      <c r="B99" s="487">
        <v>39156</v>
      </c>
      <c r="C99" s="488">
        <v>21876100</v>
      </c>
      <c r="D99" s="489">
        <f t="shared" si="15"/>
        <v>315200</v>
      </c>
      <c r="E99" s="490">
        <v>629.8</v>
      </c>
      <c r="F99" s="491">
        <v>0.08700000000000001</v>
      </c>
      <c r="G99" s="492">
        <v>0</v>
      </c>
      <c r="H99" s="493">
        <f t="shared" si="16"/>
        <v>27422.4</v>
      </c>
      <c r="I99" s="494">
        <f t="shared" si="17"/>
        <v>16453.44</v>
      </c>
    </row>
    <row r="100" spans="1:9" s="147" customFormat="1" ht="12.75">
      <c r="A100" s="360">
        <v>39173</v>
      </c>
      <c r="B100" s="168">
        <v>39188</v>
      </c>
      <c r="C100" s="169">
        <v>22232700</v>
      </c>
      <c r="D100" s="170">
        <f t="shared" si="15"/>
        <v>356600</v>
      </c>
      <c r="E100" s="396">
        <v>629.8</v>
      </c>
      <c r="F100" s="474">
        <v>0.08700000000000001</v>
      </c>
      <c r="G100" s="165">
        <v>0</v>
      </c>
      <c r="H100" s="151">
        <f t="shared" si="16"/>
        <v>31024.200000000004</v>
      </c>
      <c r="I100" s="398">
        <f t="shared" si="17"/>
        <v>18614.52</v>
      </c>
    </row>
    <row r="101" spans="1:11" s="147" customFormat="1" ht="12.75">
      <c r="A101" s="360">
        <v>39203</v>
      </c>
      <c r="B101" s="168">
        <v>39219</v>
      </c>
      <c r="C101" s="169">
        <v>22589200</v>
      </c>
      <c r="D101" s="170">
        <f t="shared" si="15"/>
        <v>356500</v>
      </c>
      <c r="E101" s="396">
        <v>972.1</v>
      </c>
      <c r="F101" s="474">
        <v>0.08700000000000001</v>
      </c>
      <c r="G101" s="165">
        <v>0</v>
      </c>
      <c r="H101" s="151">
        <f t="shared" si="16"/>
        <v>31015.500000000004</v>
      </c>
      <c r="I101" s="398">
        <f t="shared" si="17"/>
        <v>18609.300000000003</v>
      </c>
      <c r="J101" s="147" t="s">
        <v>119</v>
      </c>
      <c r="K101" s="147" t="s">
        <v>8</v>
      </c>
    </row>
    <row r="102" spans="1:11" s="147" customFormat="1" ht="12.75" customHeight="1" thickBot="1">
      <c r="A102" s="152">
        <v>39234</v>
      </c>
      <c r="B102" s="173">
        <v>39246</v>
      </c>
      <c r="C102" s="174">
        <v>23037600</v>
      </c>
      <c r="D102" s="175">
        <f t="shared" si="15"/>
        <v>448400</v>
      </c>
      <c r="E102" s="400">
        <v>1167.3</v>
      </c>
      <c r="F102" s="475">
        <v>0.08700000000000001</v>
      </c>
      <c r="G102" s="476">
        <v>0</v>
      </c>
      <c r="H102" s="148">
        <f t="shared" si="16"/>
        <v>39010.8</v>
      </c>
      <c r="I102" s="403">
        <f t="shared" si="17"/>
        <v>23406.48</v>
      </c>
      <c r="J102" s="97">
        <f>SUM(D91:D102)</f>
        <v>5111100</v>
      </c>
      <c r="K102" s="447">
        <f>SUM(I91:I102)</f>
        <v>266799.42</v>
      </c>
    </row>
    <row r="103" spans="1:10" s="347" customFormat="1" ht="12.75">
      <c r="A103" s="509">
        <v>39264</v>
      </c>
      <c r="B103" s="113">
        <v>39280</v>
      </c>
      <c r="C103" s="510">
        <v>23599400</v>
      </c>
      <c r="D103" s="511">
        <f>C103-C102</f>
        <v>561800</v>
      </c>
      <c r="E103" s="512">
        <v>1224.9</v>
      </c>
      <c r="F103" s="474">
        <v>0.09</v>
      </c>
      <c r="G103" s="513">
        <v>0</v>
      </c>
      <c r="H103" s="514">
        <f>D103*F103</f>
        <v>50562</v>
      </c>
      <c r="I103" s="513">
        <f>H103*0.6</f>
        <v>30337.199999999997</v>
      </c>
      <c r="J103" s="534">
        <f>(J102-J90)/J90</f>
        <v>-0.007476308839521517</v>
      </c>
    </row>
    <row r="104" spans="1:10" s="347" customFormat="1" ht="12.75">
      <c r="A104" s="372">
        <v>39295</v>
      </c>
      <c r="B104" s="168">
        <v>39309</v>
      </c>
      <c r="C104" s="348">
        <v>24173500</v>
      </c>
      <c r="D104" s="515">
        <f>C104-C103</f>
        <v>574100</v>
      </c>
      <c r="E104" s="516">
        <v>1258.9</v>
      </c>
      <c r="F104" s="517">
        <v>0.09</v>
      </c>
      <c r="G104" s="518">
        <v>0</v>
      </c>
      <c r="H104" s="519">
        <f>D104*F104</f>
        <v>51669</v>
      </c>
      <c r="I104" s="520">
        <f>H104*0.6</f>
        <v>31001.399999999998</v>
      </c>
      <c r="J104" s="468"/>
    </row>
    <row r="105" spans="1:11" s="347" customFormat="1" ht="12.75">
      <c r="A105" s="372">
        <v>39326</v>
      </c>
      <c r="B105" s="168">
        <v>39344</v>
      </c>
      <c r="C105" s="348">
        <v>24766600</v>
      </c>
      <c r="D105" s="515">
        <f aca="true" t="shared" si="18" ref="D105:D114">IF(C105="","",C105-C104)</f>
        <v>593100</v>
      </c>
      <c r="E105" s="516">
        <v>1286</v>
      </c>
      <c r="F105" s="517">
        <v>0.09</v>
      </c>
      <c r="G105" s="518">
        <v>0</v>
      </c>
      <c r="H105" s="519">
        <f>D105*F105</f>
        <v>53379</v>
      </c>
      <c r="I105" s="520">
        <f>H105*0.6</f>
        <v>32027.399999999998</v>
      </c>
      <c r="J105" s="468"/>
      <c r="K105" s="468"/>
    </row>
    <row r="106" spans="1:10" s="147" customFormat="1" ht="12.75">
      <c r="A106" s="360">
        <v>39356</v>
      </c>
      <c r="B106" s="168">
        <v>39370</v>
      </c>
      <c r="C106" s="348">
        <v>25168500</v>
      </c>
      <c r="D106" s="515">
        <f t="shared" si="18"/>
        <v>401900</v>
      </c>
      <c r="E106" s="516">
        <v>1152.4</v>
      </c>
      <c r="F106" s="517">
        <v>0.09</v>
      </c>
      <c r="G106" s="518">
        <v>0</v>
      </c>
      <c r="H106" s="519">
        <f>D106*F106</f>
        <v>36171</v>
      </c>
      <c r="I106" s="520">
        <f>H106*0.6</f>
        <v>21702.6</v>
      </c>
      <c r="J106" s="97"/>
    </row>
    <row r="107" spans="1:10" s="147" customFormat="1" ht="12.75">
      <c r="A107" s="360">
        <v>39387</v>
      </c>
      <c r="B107" s="168">
        <v>39401</v>
      </c>
      <c r="C107" s="169">
        <v>25531600</v>
      </c>
      <c r="D107" s="170">
        <f t="shared" si="18"/>
        <v>363100</v>
      </c>
      <c r="E107" s="396">
        <v>977.2</v>
      </c>
      <c r="F107" s="521">
        <v>0.09</v>
      </c>
      <c r="G107" s="518">
        <v>0</v>
      </c>
      <c r="H107" s="519">
        <f aca="true" t="shared" si="19" ref="H107:H114">IF(D107="","",D107*F107)</f>
        <v>32679</v>
      </c>
      <c r="I107" s="520">
        <f aca="true" t="shared" si="20" ref="I107:I114">IF(H107="","",H107*0.6)</f>
        <v>19607.399999999998</v>
      </c>
      <c r="J107" s="97"/>
    </row>
    <row r="108" spans="1:10" s="147" customFormat="1" ht="12.75">
      <c r="A108" s="360">
        <v>39417</v>
      </c>
      <c r="B108" s="168">
        <v>39430</v>
      </c>
      <c r="C108" s="169">
        <v>25819800</v>
      </c>
      <c r="D108" s="170">
        <f t="shared" si="18"/>
        <v>288200</v>
      </c>
      <c r="E108" s="396">
        <v>639.2</v>
      </c>
      <c r="F108" s="521">
        <v>0.09</v>
      </c>
      <c r="G108" s="518">
        <v>0</v>
      </c>
      <c r="H108" s="519">
        <f t="shared" si="19"/>
        <v>25938</v>
      </c>
      <c r="I108" s="520">
        <f t="shared" si="20"/>
        <v>15562.8</v>
      </c>
      <c r="J108" s="97"/>
    </row>
    <row r="109" spans="1:10" s="147" customFormat="1" ht="12.75">
      <c r="A109" s="360">
        <v>39448</v>
      </c>
      <c r="B109" s="168">
        <v>39461</v>
      </c>
      <c r="C109" s="169">
        <v>26124400</v>
      </c>
      <c r="D109" s="170">
        <f t="shared" si="18"/>
        <v>304600</v>
      </c>
      <c r="E109" s="396">
        <v>614.3</v>
      </c>
      <c r="F109" s="521">
        <v>0.09</v>
      </c>
      <c r="G109" s="518">
        <v>0</v>
      </c>
      <c r="H109" s="519">
        <f t="shared" si="19"/>
        <v>27414</v>
      </c>
      <c r="I109" s="520">
        <f t="shared" si="20"/>
        <v>16448.399999999998</v>
      </c>
      <c r="J109" s="97"/>
    </row>
    <row r="110" spans="1:9" s="147" customFormat="1" ht="12.75">
      <c r="A110" s="360">
        <v>39479</v>
      </c>
      <c r="B110" s="168">
        <v>39492</v>
      </c>
      <c r="C110" s="169">
        <v>26435800</v>
      </c>
      <c r="D110" s="170">
        <f t="shared" si="18"/>
        <v>311400</v>
      </c>
      <c r="E110" s="396">
        <v>619</v>
      </c>
      <c r="F110" s="521">
        <v>0.09</v>
      </c>
      <c r="G110" s="518">
        <v>0</v>
      </c>
      <c r="H110" s="151">
        <f>IF(D110="","",D110*F110)</f>
        <v>28026</v>
      </c>
      <c r="I110" s="398">
        <f t="shared" si="20"/>
        <v>16815.6</v>
      </c>
    </row>
    <row r="111" spans="1:9" s="147" customFormat="1" ht="12.75">
      <c r="A111" s="360">
        <v>39508</v>
      </c>
      <c r="B111" s="168">
        <v>39525</v>
      </c>
      <c r="C111" s="169">
        <v>26790300</v>
      </c>
      <c r="D111" s="170">
        <f t="shared" si="18"/>
        <v>354500</v>
      </c>
      <c r="E111" s="396">
        <v>627.3</v>
      </c>
      <c r="F111" s="521">
        <v>0.09</v>
      </c>
      <c r="G111" s="165">
        <v>0</v>
      </c>
      <c r="H111" s="151">
        <f t="shared" si="19"/>
        <v>31905</v>
      </c>
      <c r="I111" s="398">
        <f t="shared" si="20"/>
        <v>19143</v>
      </c>
    </row>
    <row r="112" spans="1:9" s="147" customFormat="1" ht="12.75">
      <c r="A112" s="360">
        <v>39539</v>
      </c>
      <c r="B112" s="168">
        <v>39553</v>
      </c>
      <c r="C112" s="169">
        <v>27081900</v>
      </c>
      <c r="D112" s="170">
        <f t="shared" si="18"/>
        <v>291600</v>
      </c>
      <c r="E112" s="396">
        <v>543.5</v>
      </c>
      <c r="F112" s="521">
        <v>0.09</v>
      </c>
      <c r="G112" s="165">
        <v>0</v>
      </c>
      <c r="H112" s="151">
        <f>IF(D112="","",D112*F112)</f>
        <v>26244</v>
      </c>
      <c r="I112" s="398">
        <f t="shared" si="20"/>
        <v>15746.4</v>
      </c>
    </row>
    <row r="113" spans="1:11" s="147" customFormat="1" ht="12.75">
      <c r="A113" s="360">
        <v>39569</v>
      </c>
      <c r="B113" s="168" t="s">
        <v>120</v>
      </c>
      <c r="C113" s="169">
        <v>27410800</v>
      </c>
      <c r="D113" s="170">
        <f t="shared" si="18"/>
        <v>328900</v>
      </c>
      <c r="E113" s="396">
        <v>747.9</v>
      </c>
      <c r="F113" s="521">
        <v>0.09</v>
      </c>
      <c r="G113" s="165">
        <v>0</v>
      </c>
      <c r="H113" s="151">
        <f t="shared" si="19"/>
        <v>29601</v>
      </c>
      <c r="I113" s="398">
        <f t="shared" si="20"/>
        <v>17760.6</v>
      </c>
      <c r="J113" s="147" t="s">
        <v>119</v>
      </c>
      <c r="K113" s="147" t="s">
        <v>8</v>
      </c>
    </row>
    <row r="114" spans="1:11" s="147" customFormat="1" ht="12.75" customHeight="1" thickBot="1">
      <c r="A114" s="152">
        <v>39600</v>
      </c>
      <c r="B114" s="173">
        <v>39615</v>
      </c>
      <c r="C114" s="174">
        <v>27851400</v>
      </c>
      <c r="D114" s="175">
        <f t="shared" si="18"/>
        <v>440600</v>
      </c>
      <c r="E114" s="400">
        <v>751.1</v>
      </c>
      <c r="F114" s="521">
        <v>0.09</v>
      </c>
      <c r="G114" s="476">
        <v>0</v>
      </c>
      <c r="H114" s="148">
        <f t="shared" si="19"/>
        <v>39654</v>
      </c>
      <c r="I114" s="403">
        <f t="shared" si="20"/>
        <v>23792.399999999998</v>
      </c>
      <c r="J114" s="97">
        <f>SUM(D103:D114)</f>
        <v>4813800</v>
      </c>
      <c r="K114" s="447">
        <f>SUM(I103:I114)</f>
        <v>259945.19999999995</v>
      </c>
    </row>
    <row r="115" spans="1:10" s="347" customFormat="1" ht="12.75">
      <c r="A115" s="509">
        <v>39630</v>
      </c>
      <c r="B115" s="540">
        <v>39645</v>
      </c>
      <c r="C115" s="583">
        <v>28301900</v>
      </c>
      <c r="D115" s="584">
        <f>C115-C114</f>
        <v>450500</v>
      </c>
      <c r="E115" s="585">
        <v>1237.3</v>
      </c>
      <c r="F115" s="586">
        <v>0.08349999999999999</v>
      </c>
      <c r="G115" s="587">
        <v>0</v>
      </c>
      <c r="H115" s="588">
        <f>D115*F115</f>
        <v>37616.74999999999</v>
      </c>
      <c r="I115" s="587">
        <f>H115*0.6</f>
        <v>22570.049999999996</v>
      </c>
      <c r="J115" s="534">
        <f>(J114-J102)/J102</f>
        <v>-0.05816751775547338</v>
      </c>
    </row>
    <row r="116" spans="1:10" s="347" customFormat="1" ht="12.75">
      <c r="A116" s="372">
        <v>39661</v>
      </c>
      <c r="B116" s="551">
        <v>39678</v>
      </c>
      <c r="C116" s="589">
        <v>28815000</v>
      </c>
      <c r="D116" s="590">
        <f>C116-C115</f>
        <v>513100</v>
      </c>
      <c r="E116" s="591">
        <v>1213</v>
      </c>
      <c r="F116" s="592">
        <v>0.08349999999999999</v>
      </c>
      <c r="G116" s="593">
        <v>0</v>
      </c>
      <c r="H116" s="594">
        <f>D116*F116</f>
        <v>42843.85</v>
      </c>
      <c r="I116" s="595">
        <f>H116*0.6</f>
        <v>25706.309999999998</v>
      </c>
      <c r="J116" s="522"/>
    </row>
    <row r="117" spans="1:11" s="347" customFormat="1" ht="12.75">
      <c r="A117" s="372">
        <v>39692</v>
      </c>
      <c r="B117" s="551">
        <v>39706</v>
      </c>
      <c r="C117" s="589">
        <v>29265100</v>
      </c>
      <c r="D117" s="590">
        <f>IF(C117="","",C117-C116)</f>
        <v>450100</v>
      </c>
      <c r="E117" s="591">
        <v>1021.8</v>
      </c>
      <c r="F117" s="592">
        <v>0.08349999999999999</v>
      </c>
      <c r="G117" s="593">
        <v>0</v>
      </c>
      <c r="H117" s="594">
        <f>D117*F117</f>
        <v>37583.35</v>
      </c>
      <c r="I117" s="595">
        <f>H117*0.6</f>
        <v>22550.01</v>
      </c>
      <c r="J117" s="522"/>
      <c r="K117" s="468"/>
    </row>
    <row r="118" spans="1:10" s="147" customFormat="1" ht="12.75">
      <c r="A118" s="360">
        <v>39722</v>
      </c>
      <c r="B118" s="551">
        <v>39736</v>
      </c>
      <c r="C118" s="552">
        <v>29632700</v>
      </c>
      <c r="D118" s="596">
        <f>IF(C118="","",C118-C117)</f>
        <v>367600</v>
      </c>
      <c r="E118" s="557">
        <v>892.8</v>
      </c>
      <c r="F118" s="597">
        <v>0.08349999999999999</v>
      </c>
      <c r="G118" s="598">
        <v>0</v>
      </c>
      <c r="H118" s="599">
        <f>D118*F118</f>
        <v>30694.599999999995</v>
      </c>
      <c r="I118" s="600">
        <f>H118*0.6</f>
        <v>18416.759999999995</v>
      </c>
      <c r="J118" s="213"/>
    </row>
    <row r="119" spans="1:10" s="147" customFormat="1" ht="12.75">
      <c r="A119" s="360">
        <v>39753</v>
      </c>
      <c r="B119" s="551">
        <v>39770</v>
      </c>
      <c r="C119" s="552">
        <v>29982900</v>
      </c>
      <c r="D119" s="596">
        <f>IF(C119="","",C119-C118)</f>
        <v>350200</v>
      </c>
      <c r="E119" s="557">
        <v>823.1</v>
      </c>
      <c r="F119" s="597">
        <v>0.08349999999999999</v>
      </c>
      <c r="G119" s="598">
        <v>0</v>
      </c>
      <c r="H119" s="599">
        <f aca="true" t="shared" si="21" ref="H119:H126">IF(D119="","",D119*F119)</f>
        <v>29241.699999999997</v>
      </c>
      <c r="I119" s="600">
        <f aca="true" t="shared" si="22" ref="I119:I126">IF(H119="","",H119*0.6)</f>
        <v>17545.019999999997</v>
      </c>
      <c r="J119" s="97"/>
    </row>
    <row r="120" spans="1:10" s="147" customFormat="1" ht="12.75">
      <c r="A120" s="360">
        <v>39783</v>
      </c>
      <c r="B120" s="551">
        <v>39797</v>
      </c>
      <c r="C120" s="552">
        <v>30236500</v>
      </c>
      <c r="D120" s="596">
        <f>IF(C120="","",C120-C119)</f>
        <v>253600</v>
      </c>
      <c r="E120" s="557">
        <v>603</v>
      </c>
      <c r="F120" s="597">
        <v>0.08349999999999999</v>
      </c>
      <c r="G120" s="598">
        <v>0</v>
      </c>
      <c r="H120" s="599">
        <f>IF(D120="","",D120*F120)</f>
        <v>21175.6</v>
      </c>
      <c r="I120" s="600">
        <f t="shared" si="22"/>
        <v>12705.359999999999</v>
      </c>
      <c r="J120" s="97"/>
    </row>
    <row r="121" spans="1:10" s="147" customFormat="1" ht="12.75">
      <c r="A121" s="360">
        <v>39814</v>
      </c>
      <c r="B121" s="551">
        <v>39829</v>
      </c>
      <c r="C121" s="552">
        <v>30547000</v>
      </c>
      <c r="D121" s="596">
        <f aca="true" t="shared" si="23" ref="D121:D126">IF(C121="","",C121-C120)</f>
        <v>310500</v>
      </c>
      <c r="E121" s="557">
        <v>614.3</v>
      </c>
      <c r="F121" s="597">
        <v>0.08349999999999999</v>
      </c>
      <c r="G121" s="598">
        <v>0</v>
      </c>
      <c r="H121" s="599">
        <f t="shared" si="21"/>
        <v>25926.749999999996</v>
      </c>
      <c r="I121" s="600">
        <f t="shared" si="22"/>
        <v>15556.049999999997</v>
      </c>
      <c r="J121" s="97"/>
    </row>
    <row r="122" spans="1:9" s="147" customFormat="1" ht="12.75">
      <c r="A122" s="360">
        <v>39845</v>
      </c>
      <c r="B122" s="551">
        <v>39861</v>
      </c>
      <c r="C122" s="552">
        <v>30893300</v>
      </c>
      <c r="D122" s="596">
        <f t="shared" si="23"/>
        <v>346300</v>
      </c>
      <c r="E122" s="557">
        <v>619</v>
      </c>
      <c r="F122" s="597">
        <v>0.08349999999999999</v>
      </c>
      <c r="G122" s="598">
        <v>0</v>
      </c>
      <c r="H122" s="599">
        <f t="shared" si="21"/>
        <v>28916.049999999996</v>
      </c>
      <c r="I122" s="600">
        <f t="shared" si="22"/>
        <v>17349.629999999997</v>
      </c>
    </row>
    <row r="123" spans="1:9" s="147" customFormat="1" ht="12.75">
      <c r="A123" s="360">
        <v>39873</v>
      </c>
      <c r="B123" s="551">
        <v>39889</v>
      </c>
      <c r="C123" s="552">
        <v>31161900</v>
      </c>
      <c r="D123" s="596">
        <f t="shared" si="23"/>
        <v>268600</v>
      </c>
      <c r="E123" s="557">
        <v>627.3</v>
      </c>
      <c r="F123" s="597">
        <v>0.08349999999999999</v>
      </c>
      <c r="G123" s="601">
        <v>0</v>
      </c>
      <c r="H123" s="599">
        <f t="shared" si="21"/>
        <v>22428.1</v>
      </c>
      <c r="I123" s="600">
        <f t="shared" si="22"/>
        <v>13456.859999999999</v>
      </c>
    </row>
    <row r="124" spans="1:9" s="147" customFormat="1" ht="12.75">
      <c r="A124" s="360">
        <v>39904</v>
      </c>
      <c r="B124" s="551">
        <v>39923</v>
      </c>
      <c r="C124" s="602">
        <v>31477500</v>
      </c>
      <c r="D124" s="596">
        <f t="shared" si="23"/>
        <v>315600</v>
      </c>
      <c r="E124" s="557">
        <v>588</v>
      </c>
      <c r="F124" s="597">
        <v>0.08349999999999999</v>
      </c>
      <c r="G124" s="601">
        <v>0</v>
      </c>
      <c r="H124" s="599">
        <f t="shared" si="21"/>
        <v>26352.6</v>
      </c>
      <c r="I124" s="600">
        <f t="shared" si="22"/>
        <v>15811.559999999998</v>
      </c>
    </row>
    <row r="125" spans="1:11" s="147" customFormat="1" ht="12.75">
      <c r="A125" s="360">
        <v>39934</v>
      </c>
      <c r="B125" s="551">
        <v>39948</v>
      </c>
      <c r="C125" s="602">
        <v>31749300</v>
      </c>
      <c r="D125" s="596">
        <f t="shared" si="23"/>
        <v>271800</v>
      </c>
      <c r="E125" s="557">
        <v>928.9</v>
      </c>
      <c r="F125" s="597">
        <v>0.08349999999999999</v>
      </c>
      <c r="G125" s="601">
        <v>0</v>
      </c>
      <c r="H125" s="599">
        <f t="shared" si="21"/>
        <v>22695.3</v>
      </c>
      <c r="I125" s="600">
        <f t="shared" si="22"/>
        <v>13617.179999999998</v>
      </c>
      <c r="J125" s="147" t="s">
        <v>119</v>
      </c>
      <c r="K125" s="147" t="s">
        <v>8</v>
      </c>
    </row>
    <row r="126" spans="1:11" s="147" customFormat="1" ht="12.75" customHeight="1" thickBot="1">
      <c r="A126" s="152">
        <v>39965</v>
      </c>
      <c r="B126" s="560">
        <v>39979</v>
      </c>
      <c r="C126" s="602">
        <v>32182500</v>
      </c>
      <c r="D126" s="596">
        <f t="shared" si="23"/>
        <v>433200</v>
      </c>
      <c r="E126" s="603">
        <v>1164.8</v>
      </c>
      <c r="F126" s="604">
        <v>0.08349999999999999</v>
      </c>
      <c r="G126" s="605">
        <v>0</v>
      </c>
      <c r="H126" s="606">
        <f t="shared" si="21"/>
        <v>36172.2</v>
      </c>
      <c r="I126" s="607">
        <f t="shared" si="22"/>
        <v>21703.319999999996</v>
      </c>
      <c r="J126" s="97">
        <f>SUM(D115:D126)</f>
        <v>4331100</v>
      </c>
      <c r="K126" s="447">
        <f>SUM(I115:I126)</f>
        <v>216988.11</v>
      </c>
    </row>
    <row r="127" spans="1:10" s="347" customFormat="1" ht="12.75">
      <c r="A127" s="509">
        <v>39995</v>
      </c>
      <c r="B127" s="630">
        <v>40011</v>
      </c>
      <c r="C127" s="631">
        <v>32665800</v>
      </c>
      <c r="D127" s="464">
        <f>C127-C126</f>
        <v>483300</v>
      </c>
      <c r="E127" s="638">
        <v>1112.3</v>
      </c>
      <c r="F127" s="523">
        <f>Rates!$E$10</f>
        <v>0.08499999999999999</v>
      </c>
      <c r="G127" s="465">
        <v>0</v>
      </c>
      <c r="H127" s="466">
        <f>D127*F127</f>
        <v>41080.49999999999</v>
      </c>
      <c r="I127" s="465">
        <f>H127*0.6</f>
        <v>24648.299999999996</v>
      </c>
      <c r="J127" s="534">
        <f>(J126-J114)/J114</f>
        <v>-0.1002742116415306</v>
      </c>
    </row>
    <row r="128" spans="1:10" s="347" customFormat="1" ht="12.75">
      <c r="A128" s="372">
        <v>40026</v>
      </c>
      <c r="B128" s="131">
        <v>40042</v>
      </c>
      <c r="C128" s="632">
        <v>33131900</v>
      </c>
      <c r="D128" s="469">
        <f>C128-C127</f>
        <v>466100</v>
      </c>
      <c r="E128" s="639">
        <v>1083.7</v>
      </c>
      <c r="F128" s="524">
        <f>Rates!$E$10</f>
        <v>0.08499999999999999</v>
      </c>
      <c r="G128" s="470">
        <v>0</v>
      </c>
      <c r="H128" s="471">
        <f>D128*F128</f>
        <v>39618.5</v>
      </c>
      <c r="I128" s="472">
        <f>H128*0.6</f>
        <v>23771.1</v>
      </c>
      <c r="J128" s="522"/>
    </row>
    <row r="129" spans="1:10" s="347" customFormat="1" ht="12.75">
      <c r="A129" s="372">
        <v>40057</v>
      </c>
      <c r="B129" s="131">
        <v>40071</v>
      </c>
      <c r="C129" s="632">
        <v>33517600</v>
      </c>
      <c r="D129" s="469">
        <f aca="true" t="shared" si="24" ref="D129:D135">IF(C129="","",C129-C128)</f>
        <v>385700</v>
      </c>
      <c r="E129" s="639">
        <v>1074.7</v>
      </c>
      <c r="F129" s="524">
        <f>Rates!$E$10</f>
        <v>0.08499999999999999</v>
      </c>
      <c r="G129" s="470">
        <v>0</v>
      </c>
      <c r="H129" s="471">
        <f>D129*F129</f>
        <v>32784.5</v>
      </c>
      <c r="I129" s="472">
        <f>H129*0.6</f>
        <v>19670.7</v>
      </c>
      <c r="J129" s="522"/>
    </row>
    <row r="130" spans="1:10" s="347" customFormat="1" ht="12.75">
      <c r="A130" s="372">
        <v>40087</v>
      </c>
      <c r="B130" s="131">
        <v>40102</v>
      </c>
      <c r="C130" s="632">
        <v>33845500</v>
      </c>
      <c r="D130" s="469">
        <f t="shared" si="24"/>
        <v>327900</v>
      </c>
      <c r="E130" s="639">
        <v>870</v>
      </c>
      <c r="F130" s="524">
        <f>Rates!$E$10</f>
        <v>0.08499999999999999</v>
      </c>
      <c r="G130" s="470">
        <v>0</v>
      </c>
      <c r="H130" s="471">
        <f>D130*F130</f>
        <v>27871.499999999996</v>
      </c>
      <c r="I130" s="472">
        <f>H130*0.6</f>
        <v>16722.899999999998</v>
      </c>
      <c r="J130" s="522"/>
    </row>
    <row r="131" spans="1:10" s="347" customFormat="1" ht="12.75">
      <c r="A131" s="372">
        <v>40118</v>
      </c>
      <c r="B131" s="131">
        <v>40133</v>
      </c>
      <c r="C131" s="632">
        <v>34130900</v>
      </c>
      <c r="D131" s="469">
        <f t="shared" si="24"/>
        <v>285400</v>
      </c>
      <c r="E131" s="639">
        <v>800</v>
      </c>
      <c r="F131" s="524">
        <f>Rates!$E$10</f>
        <v>0.08499999999999999</v>
      </c>
      <c r="G131" s="470">
        <v>0</v>
      </c>
      <c r="H131" s="471">
        <f>IF(D131="","",D131*F131)</f>
        <v>24258.999999999996</v>
      </c>
      <c r="I131" s="472">
        <f aca="true" t="shared" si="25" ref="I131:I138">IF(H131="","",H131*0.6)</f>
        <v>14555.399999999998</v>
      </c>
      <c r="J131" s="522"/>
    </row>
    <row r="132" spans="1:10" s="347" customFormat="1" ht="12.75">
      <c r="A132" s="372">
        <v>40148</v>
      </c>
      <c r="B132" s="672">
        <v>40164</v>
      </c>
      <c r="C132" s="673">
        <v>34402700</v>
      </c>
      <c r="D132" s="469">
        <f t="shared" si="24"/>
        <v>271800</v>
      </c>
      <c r="E132" s="674">
        <v>586</v>
      </c>
      <c r="F132" s="524">
        <f>Rates!$E$10</f>
        <v>0.08499999999999999</v>
      </c>
      <c r="G132" s="470">
        <v>0</v>
      </c>
      <c r="H132" s="471">
        <f>IF(D132="","",D132*F132)</f>
        <v>23102.999999999996</v>
      </c>
      <c r="I132" s="472">
        <f t="shared" si="25"/>
        <v>13861.799999999997</v>
      </c>
      <c r="J132" s="522"/>
    </row>
    <row r="133" spans="1:10" s="347" customFormat="1" ht="12.75">
      <c r="A133" s="372">
        <v>40179</v>
      </c>
      <c r="B133" s="672">
        <v>40193</v>
      </c>
      <c r="C133" s="673">
        <v>34652200</v>
      </c>
      <c r="D133" s="469">
        <f t="shared" si="24"/>
        <v>249500</v>
      </c>
      <c r="E133" s="674">
        <v>564</v>
      </c>
      <c r="F133" s="524">
        <f>Rates!$E$10</f>
        <v>0.08499999999999999</v>
      </c>
      <c r="G133" s="470">
        <v>0</v>
      </c>
      <c r="H133" s="471">
        <f aca="true" t="shared" si="26" ref="H133:H138">IF(D133="","",D133*F133)</f>
        <v>21207.499999999996</v>
      </c>
      <c r="I133" s="472">
        <f t="shared" si="25"/>
        <v>12724.499999999998</v>
      </c>
      <c r="J133" s="468"/>
    </row>
    <row r="134" spans="1:9" s="347" customFormat="1" ht="12.75">
      <c r="A134" s="372">
        <v>40210</v>
      </c>
      <c r="B134" s="672">
        <v>40224</v>
      </c>
      <c r="C134" s="673">
        <v>34932400</v>
      </c>
      <c r="D134" s="469">
        <f t="shared" si="24"/>
        <v>280200</v>
      </c>
      <c r="E134" s="674">
        <v>590.7</v>
      </c>
      <c r="F134" s="524">
        <f>Rates!$E$10</f>
        <v>0.08499999999999999</v>
      </c>
      <c r="G134" s="470">
        <v>0</v>
      </c>
      <c r="H134" s="471">
        <f t="shared" si="26"/>
        <v>23816.999999999996</v>
      </c>
      <c r="I134" s="472">
        <f t="shared" si="25"/>
        <v>14290.199999999997</v>
      </c>
    </row>
    <row r="135" spans="1:9" s="347" customFormat="1" ht="12.75">
      <c r="A135" s="372">
        <v>40238</v>
      </c>
      <c r="B135" s="672">
        <v>40252</v>
      </c>
      <c r="C135" s="673">
        <v>35178200</v>
      </c>
      <c r="D135" s="469">
        <f t="shared" si="24"/>
        <v>245800</v>
      </c>
      <c r="E135" s="674">
        <v>571.1</v>
      </c>
      <c r="F135" s="524">
        <f>Rates!$E$10</f>
        <v>0.08499999999999999</v>
      </c>
      <c r="G135" s="470">
        <v>0</v>
      </c>
      <c r="H135" s="471">
        <f t="shared" si="26"/>
        <v>20892.999999999996</v>
      </c>
      <c r="I135" s="472">
        <f t="shared" si="25"/>
        <v>12535.799999999997</v>
      </c>
    </row>
    <row r="136" spans="1:9" s="676" customFormat="1" ht="12.75">
      <c r="A136" s="675">
        <v>40269</v>
      </c>
      <c r="B136" s="672">
        <v>40284</v>
      </c>
      <c r="C136" s="673">
        <v>35444600</v>
      </c>
      <c r="D136" s="469">
        <f>D124*0.95</f>
        <v>299820</v>
      </c>
      <c r="E136" s="674">
        <v>571.1</v>
      </c>
      <c r="F136" s="524">
        <f>Rates!$E$10</f>
        <v>0.08499999999999999</v>
      </c>
      <c r="G136" s="470">
        <v>0</v>
      </c>
      <c r="H136" s="471">
        <f t="shared" si="26"/>
        <v>25484.699999999997</v>
      </c>
      <c r="I136" s="472">
        <f t="shared" si="25"/>
        <v>15290.819999999998</v>
      </c>
    </row>
    <row r="137" spans="1:11" s="634" customFormat="1" ht="12.75">
      <c r="A137" s="633">
        <v>40299</v>
      </c>
      <c r="B137" s="672">
        <v>40312</v>
      </c>
      <c r="C137" s="673">
        <v>35681300</v>
      </c>
      <c r="D137" s="469">
        <f>D125*0.95</f>
        <v>258210</v>
      </c>
      <c r="E137" s="674">
        <v>828.4</v>
      </c>
      <c r="F137" s="524">
        <f>Rates!$E$10</f>
        <v>0.08499999999999999</v>
      </c>
      <c r="G137" s="470">
        <v>0</v>
      </c>
      <c r="H137" s="471">
        <f t="shared" si="26"/>
        <v>21947.85</v>
      </c>
      <c r="I137" s="472">
        <f t="shared" si="25"/>
        <v>13168.71</v>
      </c>
      <c r="J137" s="634" t="s">
        <v>119</v>
      </c>
      <c r="K137" s="634" t="s">
        <v>8</v>
      </c>
    </row>
    <row r="138" spans="1:11" s="634" customFormat="1" ht="12.75" customHeight="1" thickBot="1">
      <c r="A138" s="636">
        <v>40330</v>
      </c>
      <c r="B138" s="672">
        <v>40343</v>
      </c>
      <c r="C138" s="673">
        <v>36119200</v>
      </c>
      <c r="D138" s="469">
        <f>D126*0.95</f>
        <v>411540</v>
      </c>
      <c r="E138" s="674">
        <v>1248.2</v>
      </c>
      <c r="F138" s="524">
        <f>Rates!$E$10</f>
        <v>0.08499999999999999</v>
      </c>
      <c r="G138" s="470">
        <v>0</v>
      </c>
      <c r="H138" s="471">
        <f t="shared" si="26"/>
        <v>34980.899999999994</v>
      </c>
      <c r="I138" s="472">
        <f t="shared" si="25"/>
        <v>20988.539999999997</v>
      </c>
      <c r="J138" s="635">
        <f>SUM(D127:D138)</f>
        <v>3965270</v>
      </c>
      <c r="K138" s="637">
        <f>SUM(I127:I138)</f>
        <v>202228.76999999996</v>
      </c>
    </row>
    <row r="139" spans="1:11" s="147" customFormat="1" ht="12.75" customHeight="1">
      <c r="A139" s="381"/>
      <c r="B139" s="301"/>
      <c r="C139" s="222"/>
      <c r="D139" s="222"/>
      <c r="E139" s="302"/>
      <c r="F139" s="303"/>
      <c r="G139" s="304"/>
      <c r="H139" s="304"/>
      <c r="I139" s="304"/>
      <c r="J139" s="534">
        <f>(J138-J126)/J126</f>
        <v>-0.08446584008681397</v>
      </c>
      <c r="K139" s="97"/>
    </row>
    <row r="140" spans="1:11" s="147" customFormat="1" ht="12.75" customHeight="1">
      <c r="A140" s="141" t="s">
        <v>73</v>
      </c>
      <c r="B140" s="301"/>
      <c r="C140" s="222"/>
      <c r="D140" s="222"/>
      <c r="E140" s="302"/>
      <c r="F140" s="303"/>
      <c r="G140" s="304"/>
      <c r="H140" s="304"/>
      <c r="I140" s="304"/>
      <c r="K140" s="446"/>
    </row>
    <row r="141" spans="1:11" s="147" customFormat="1" ht="12.75" customHeight="1">
      <c r="A141" s="141" t="s">
        <v>88</v>
      </c>
      <c r="B141" s="301"/>
      <c r="C141" s="222"/>
      <c r="D141" s="222"/>
      <c r="E141" s="302"/>
      <c r="F141" s="303"/>
      <c r="G141" s="304"/>
      <c r="H141" s="304"/>
      <c r="I141" s="304"/>
      <c r="K141" s="256"/>
    </row>
    <row r="142" spans="1:9" s="147" customFormat="1" ht="12.75" customHeight="1">
      <c r="A142" s="381"/>
      <c r="B142" s="301"/>
      <c r="C142" s="222"/>
      <c r="D142" s="222"/>
      <c r="E142" s="302"/>
      <c r="F142" s="303"/>
      <c r="G142" s="304"/>
      <c r="H142" s="304"/>
      <c r="I142" s="304"/>
    </row>
    <row r="143" spans="1:9" s="147" customFormat="1" ht="12.75" customHeight="1">
      <c r="A143" s="381"/>
      <c r="B143" s="301"/>
      <c r="C143" s="222"/>
      <c r="D143" s="495"/>
      <c r="E143" s="302"/>
      <c r="F143" s="303"/>
      <c r="G143" s="304"/>
      <c r="H143" s="304"/>
      <c r="I143" s="304"/>
    </row>
    <row r="144" spans="1:9" s="147" customFormat="1" ht="12.75" customHeight="1">
      <c r="A144" s="381"/>
      <c r="B144" s="301"/>
      <c r="C144" s="222"/>
      <c r="D144" s="222"/>
      <c r="E144" s="302"/>
      <c r="F144" s="303"/>
      <c r="G144" s="304"/>
      <c r="H144" s="304"/>
      <c r="I144" s="304"/>
    </row>
    <row r="145" spans="1:9" s="147" customFormat="1" ht="12.75" customHeight="1">
      <c r="A145" s="381"/>
      <c r="B145" s="301"/>
      <c r="C145" s="222"/>
      <c r="D145" s="222"/>
      <c r="E145" s="302"/>
      <c r="F145" s="303"/>
      <c r="G145" s="304"/>
      <c r="H145" s="304"/>
      <c r="I145" s="304"/>
    </row>
    <row r="146" spans="1:9" s="147" customFormat="1" ht="12.75" customHeight="1">
      <c r="A146" s="381"/>
      <c r="B146" s="301"/>
      <c r="C146" s="222"/>
      <c r="D146" s="222"/>
      <c r="E146" s="302"/>
      <c r="F146" s="303"/>
      <c r="G146" s="304"/>
      <c r="H146" s="304"/>
      <c r="I146" s="304"/>
    </row>
    <row r="147" spans="1:9" s="147" customFormat="1" ht="12.75" customHeight="1">
      <c r="A147" s="381"/>
      <c r="B147" s="301"/>
      <c r="C147" s="222"/>
      <c r="D147" s="222"/>
      <c r="E147" s="302"/>
      <c r="F147" s="303"/>
      <c r="G147" s="304"/>
      <c r="H147" s="304"/>
      <c r="I147" s="304"/>
    </row>
    <row r="148" spans="1:9" s="147" customFormat="1" ht="12.75" customHeight="1">
      <c r="A148" s="381"/>
      <c r="B148" s="301"/>
      <c r="C148" s="222"/>
      <c r="D148" s="222"/>
      <c r="E148" s="302"/>
      <c r="F148" s="303"/>
      <c r="G148" s="304"/>
      <c r="H148" s="304"/>
      <c r="I148" s="304"/>
    </row>
    <row r="149" spans="1:9" s="147" customFormat="1" ht="12.75" customHeight="1">
      <c r="A149" s="381"/>
      <c r="B149" s="301"/>
      <c r="C149" s="222"/>
      <c r="D149" s="222"/>
      <c r="E149" s="302"/>
      <c r="F149" s="303"/>
      <c r="G149" s="304"/>
      <c r="H149" s="304"/>
      <c r="I149" s="304"/>
    </row>
    <row r="150" spans="1:9" s="147" customFormat="1" ht="12.75" customHeight="1">
      <c r="A150" s="381"/>
      <c r="B150" s="301"/>
      <c r="C150" s="222"/>
      <c r="D150" s="222"/>
      <c r="E150" s="302"/>
      <c r="F150" s="303"/>
      <c r="G150" s="304"/>
      <c r="H150" s="304"/>
      <c r="I150" s="304"/>
    </row>
    <row r="151" spans="1:9" s="147" customFormat="1" ht="12.75" customHeight="1">
      <c r="A151" s="381"/>
      <c r="B151" s="301"/>
      <c r="C151" s="222"/>
      <c r="D151" s="222"/>
      <c r="E151" s="302"/>
      <c r="F151" s="303"/>
      <c r="G151" s="304"/>
      <c r="H151" s="304"/>
      <c r="I151" s="304"/>
    </row>
    <row r="152" spans="1:10" s="17" customFormat="1" ht="12.75">
      <c r="A152" s="306"/>
      <c r="B152" s="139"/>
      <c r="C152" s="140"/>
      <c r="D152" s="96"/>
      <c r="E152" s="140"/>
      <c r="F152" s="140"/>
      <c r="G152" s="142"/>
      <c r="H152" s="143"/>
      <c r="I152" s="143"/>
      <c r="J152" s="18"/>
    </row>
    <row r="153" spans="1:10" s="17" customFormat="1" ht="12.75">
      <c r="A153" s="306"/>
      <c r="B153" s="139"/>
      <c r="C153" s="140"/>
      <c r="D153" s="96"/>
      <c r="E153" s="140"/>
      <c r="F153" s="140"/>
      <c r="G153" s="142"/>
      <c r="H153" s="143"/>
      <c r="I153" s="143"/>
      <c r="J153" s="18"/>
    </row>
    <row r="154" spans="1:6" ht="15">
      <c r="A154" s="382"/>
      <c r="B154" s="133"/>
      <c r="C154" s="134"/>
      <c r="D154" s="96"/>
      <c r="E154" s="136"/>
      <c r="F154" s="133"/>
    </row>
    <row r="155" spans="1:6" ht="14.25">
      <c r="A155" s="134"/>
      <c r="B155" s="133"/>
      <c r="C155" s="134"/>
      <c r="D155" s="145"/>
      <c r="E155" s="136"/>
      <c r="F155" s="133"/>
    </row>
    <row r="157" ht="12.75">
      <c r="D157" s="49"/>
    </row>
    <row r="158" ht="12.75">
      <c r="D158" s="49"/>
    </row>
  </sheetData>
  <sheetProtection/>
  <mergeCells count="2">
    <mergeCell ref="A1:I1"/>
    <mergeCell ref="A2:I2"/>
  </mergeCells>
  <printOptions horizontalCentered="1" verticalCentered="1"/>
  <pageMargins left="0.75" right="0.75" top="1" bottom="1" header="0.5" footer="0.5"/>
  <pageSetup fitToHeight="1" fitToWidth="1" horizontalDpi="300" verticalDpi="300" orientation="portrait" scale="74" r:id="rId1"/>
  <headerFooter alignWithMargins="0">
    <oddFooter>&amp;L&amp;D&amp;Rpage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view="pageBreakPreview" zoomScaleSheetLayoutView="100" zoomScalePageLayoutView="0" workbookViewId="0" topLeftCell="A107">
      <selection activeCell="E125" sqref="E125"/>
    </sheetView>
  </sheetViews>
  <sheetFormatPr defaultColWidth="9.140625" defaultRowHeight="12.75" outlineLevelRow="1"/>
  <cols>
    <col min="1" max="1" width="9.28125" style="0" bestFit="1" customWidth="1"/>
    <col min="2" max="3" width="13.140625" style="0" bestFit="1" customWidth="1"/>
    <col min="4" max="4" width="12.00390625" style="0" bestFit="1" customWidth="1"/>
    <col min="5" max="5" width="11.8515625" style="0" customWidth="1"/>
    <col min="6" max="6" width="13.421875" style="0" bestFit="1" customWidth="1"/>
    <col min="7" max="7" width="14.00390625" style="0" bestFit="1" customWidth="1"/>
    <col min="8" max="8" width="14.140625" style="0" bestFit="1" customWidth="1"/>
    <col min="9" max="9" width="12.8515625" style="0" customWidth="1"/>
    <col min="10" max="10" width="12.57421875" style="0" customWidth="1"/>
  </cols>
  <sheetData>
    <row r="1" spans="1:8" ht="18">
      <c r="A1" s="680" t="s">
        <v>0</v>
      </c>
      <c r="B1" s="680"/>
      <c r="C1" s="680"/>
      <c r="D1" s="680"/>
      <c r="E1" s="680"/>
      <c r="F1" s="680"/>
      <c r="G1" s="680"/>
      <c r="H1" s="680"/>
    </row>
    <row r="2" spans="1:8" ht="18">
      <c r="A2" s="681" t="s">
        <v>60</v>
      </c>
      <c r="B2" s="681"/>
      <c r="C2" s="681"/>
      <c r="D2" s="681"/>
      <c r="E2" s="681"/>
      <c r="F2" s="681"/>
      <c r="G2" s="681"/>
      <c r="H2" s="681"/>
    </row>
    <row r="3" ht="13.5" thickBot="1"/>
    <row r="4" spans="1:8" ht="12.75">
      <c r="A4" s="6" t="s">
        <v>1</v>
      </c>
      <c r="B4" s="6" t="s">
        <v>3</v>
      </c>
      <c r="C4" s="6" t="s">
        <v>4</v>
      </c>
      <c r="D4" s="6" t="s">
        <v>5</v>
      </c>
      <c r="E4" s="6" t="s">
        <v>5</v>
      </c>
      <c r="F4" s="6" t="s">
        <v>6</v>
      </c>
      <c r="G4" s="6" t="s">
        <v>7</v>
      </c>
      <c r="H4" s="6" t="s">
        <v>9</v>
      </c>
    </row>
    <row r="5" spans="1:8" ht="13.5" thickBot="1">
      <c r="A5" s="405" t="s">
        <v>2</v>
      </c>
      <c r="B5" s="405" t="s">
        <v>4</v>
      </c>
      <c r="C5" s="405" t="s">
        <v>38</v>
      </c>
      <c r="D5" s="405" t="s">
        <v>38</v>
      </c>
      <c r="E5" s="405" t="s">
        <v>37</v>
      </c>
      <c r="F5" s="405" t="s">
        <v>107</v>
      </c>
      <c r="G5" s="405" t="s">
        <v>8</v>
      </c>
      <c r="H5" s="405" t="s">
        <v>8</v>
      </c>
    </row>
    <row r="6" spans="1:10" ht="12.75" hidden="1" outlineLevel="1">
      <c r="A6" s="114">
        <v>36708</v>
      </c>
      <c r="B6" s="113">
        <v>36739</v>
      </c>
      <c r="C6" s="115">
        <v>27044</v>
      </c>
      <c r="D6" s="115">
        <v>3716</v>
      </c>
      <c r="E6" s="116">
        <f>D6/10</f>
        <v>371.6</v>
      </c>
      <c r="F6" s="274">
        <v>4.9224</v>
      </c>
      <c r="G6" s="117">
        <f aca="true" t="shared" si="0" ref="G6:G41">E6*F6</f>
        <v>1829.16384</v>
      </c>
      <c r="H6" s="107">
        <f>G6*0.6</f>
        <v>1097.498304</v>
      </c>
      <c r="J6" s="32"/>
    </row>
    <row r="7" spans="1:10" ht="12.75" hidden="1" outlineLevel="1">
      <c r="A7" s="23">
        <v>36739</v>
      </c>
      <c r="B7" s="24">
        <v>36768</v>
      </c>
      <c r="C7" s="25">
        <v>30316</v>
      </c>
      <c r="D7" s="25">
        <f aca="true" t="shared" si="1" ref="D7:D17">C7-C6</f>
        <v>3272</v>
      </c>
      <c r="E7" s="47">
        <f aca="true" t="shared" si="2" ref="E7:E32">D7/10</f>
        <v>327.2</v>
      </c>
      <c r="F7" s="43">
        <v>4.5803</v>
      </c>
      <c r="G7" s="26">
        <f t="shared" si="0"/>
        <v>1498.67416</v>
      </c>
      <c r="H7" s="26">
        <f aca="true" t="shared" si="3" ref="H7:H53">G7*0.6</f>
        <v>899.204496</v>
      </c>
      <c r="J7" s="32"/>
    </row>
    <row r="8" spans="1:10" ht="12.75" hidden="1" outlineLevel="1">
      <c r="A8" s="23">
        <v>36770</v>
      </c>
      <c r="B8" s="24">
        <v>36803</v>
      </c>
      <c r="C8" s="25">
        <v>33949</v>
      </c>
      <c r="D8" s="25">
        <f t="shared" si="1"/>
        <v>3633</v>
      </c>
      <c r="E8" s="47">
        <f t="shared" si="2"/>
        <v>363.3</v>
      </c>
      <c r="F8" s="43">
        <v>5.9666999999999994</v>
      </c>
      <c r="G8" s="26">
        <f t="shared" si="0"/>
        <v>2167.7021099999997</v>
      </c>
      <c r="H8" s="26">
        <f t="shared" si="3"/>
        <v>1300.6212659999999</v>
      </c>
      <c r="J8" s="32"/>
    </row>
    <row r="9" spans="1:10" s="17" customFormat="1" ht="12.75" hidden="1" outlineLevel="1">
      <c r="A9" s="23">
        <v>36800</v>
      </c>
      <c r="B9" s="24">
        <v>36831</v>
      </c>
      <c r="C9" s="25">
        <v>36263</v>
      </c>
      <c r="D9" s="25">
        <f t="shared" si="1"/>
        <v>2314</v>
      </c>
      <c r="E9" s="47">
        <f t="shared" si="2"/>
        <v>231.4</v>
      </c>
      <c r="F9" s="43">
        <v>5.9724</v>
      </c>
      <c r="G9" s="26">
        <f t="shared" si="0"/>
        <v>1382.0133600000001</v>
      </c>
      <c r="H9" s="26">
        <f t="shared" si="3"/>
        <v>829.208016</v>
      </c>
      <c r="J9" s="118"/>
    </row>
    <row r="10" spans="1:10" s="17" customFormat="1" ht="12.75" hidden="1" outlineLevel="1">
      <c r="A10" s="23">
        <v>36831</v>
      </c>
      <c r="B10" s="24">
        <v>36866</v>
      </c>
      <c r="C10" s="25">
        <v>38179</v>
      </c>
      <c r="D10" s="25">
        <f t="shared" si="1"/>
        <v>1916</v>
      </c>
      <c r="E10" s="47">
        <f t="shared" si="2"/>
        <v>191.6</v>
      </c>
      <c r="F10" s="43">
        <v>6.0255</v>
      </c>
      <c r="G10" s="26">
        <f t="shared" si="0"/>
        <v>1154.4858</v>
      </c>
      <c r="H10" s="26">
        <f t="shared" si="3"/>
        <v>692.69148</v>
      </c>
      <c r="J10" s="118"/>
    </row>
    <row r="11" spans="1:10" s="17" customFormat="1" ht="12.75" hidden="1" outlineLevel="1">
      <c r="A11" s="23">
        <v>36861</v>
      </c>
      <c r="B11" s="24">
        <v>36900</v>
      </c>
      <c r="C11" s="25">
        <v>39874</v>
      </c>
      <c r="D11" s="25">
        <f t="shared" si="1"/>
        <v>1695</v>
      </c>
      <c r="E11" s="47">
        <f t="shared" si="2"/>
        <v>169.5</v>
      </c>
      <c r="F11" s="43">
        <v>6.7585999999999995</v>
      </c>
      <c r="G11" s="26">
        <f t="shared" si="0"/>
        <v>1145.5827</v>
      </c>
      <c r="H11" s="26">
        <f t="shared" si="3"/>
        <v>687.34962</v>
      </c>
      <c r="J11" s="118"/>
    </row>
    <row r="12" spans="1:10" s="17" customFormat="1" ht="12.75" hidden="1" outlineLevel="1">
      <c r="A12" s="23">
        <v>36892</v>
      </c>
      <c r="B12" s="24">
        <v>36929</v>
      </c>
      <c r="C12" s="25">
        <v>41301</v>
      </c>
      <c r="D12" s="25">
        <f t="shared" si="1"/>
        <v>1427</v>
      </c>
      <c r="E12" s="47">
        <f t="shared" si="2"/>
        <v>142.7</v>
      </c>
      <c r="F12" s="43">
        <v>5.9937</v>
      </c>
      <c r="G12" s="26">
        <f t="shared" si="0"/>
        <v>855.3009899999998</v>
      </c>
      <c r="H12" s="26">
        <f t="shared" si="3"/>
        <v>513.1805939999999</v>
      </c>
      <c r="J12" s="118"/>
    </row>
    <row r="13" spans="1:10" s="17" customFormat="1" ht="12.75" hidden="1" outlineLevel="1">
      <c r="A13" s="23">
        <v>36923</v>
      </c>
      <c r="B13" s="24">
        <v>36956</v>
      </c>
      <c r="C13" s="25">
        <v>43518</v>
      </c>
      <c r="D13" s="25">
        <f t="shared" si="1"/>
        <v>2217</v>
      </c>
      <c r="E13" s="47">
        <f t="shared" si="2"/>
        <v>221.7</v>
      </c>
      <c r="F13" s="43">
        <v>5.9143</v>
      </c>
      <c r="G13" s="26">
        <f t="shared" si="0"/>
        <v>1311.20031</v>
      </c>
      <c r="H13" s="26">
        <f t="shared" si="3"/>
        <v>786.7201859999999</v>
      </c>
      <c r="J13" s="118"/>
    </row>
    <row r="14" spans="1:10" s="17" customFormat="1" ht="12.75" hidden="1" outlineLevel="1">
      <c r="A14" s="23">
        <v>36951</v>
      </c>
      <c r="B14" s="24">
        <v>36985</v>
      </c>
      <c r="C14" s="25">
        <v>47278</v>
      </c>
      <c r="D14" s="25">
        <f t="shared" si="1"/>
        <v>3760</v>
      </c>
      <c r="E14" s="47">
        <f t="shared" si="2"/>
        <v>376</v>
      </c>
      <c r="F14" s="43">
        <v>5.8835</v>
      </c>
      <c r="G14" s="26">
        <f t="shared" si="0"/>
        <v>2212.196</v>
      </c>
      <c r="H14" s="26">
        <f t="shared" si="3"/>
        <v>1327.3175999999999</v>
      </c>
      <c r="J14" s="118"/>
    </row>
    <row r="15" spans="1:10" s="17" customFormat="1" ht="12.75" hidden="1" outlineLevel="1">
      <c r="A15" s="23">
        <v>36982</v>
      </c>
      <c r="B15" s="24">
        <v>37012</v>
      </c>
      <c r="C15" s="25">
        <v>50154</v>
      </c>
      <c r="D15" s="25">
        <f t="shared" si="1"/>
        <v>2876</v>
      </c>
      <c r="E15" s="47">
        <f t="shared" si="2"/>
        <v>287.6</v>
      </c>
      <c r="F15" s="43">
        <v>5.981199999999999</v>
      </c>
      <c r="G15" s="26">
        <f t="shared" si="0"/>
        <v>1720.19312</v>
      </c>
      <c r="H15" s="26">
        <f t="shared" si="3"/>
        <v>1032.1158719999999</v>
      </c>
      <c r="J15" s="118"/>
    </row>
    <row r="16" spans="1:10" s="17" customFormat="1" ht="12.75" hidden="1" outlineLevel="1">
      <c r="A16" s="23">
        <v>37012</v>
      </c>
      <c r="B16" s="24">
        <v>37043</v>
      </c>
      <c r="C16" s="25">
        <v>53475</v>
      </c>
      <c r="D16" s="25">
        <f t="shared" si="1"/>
        <v>3321</v>
      </c>
      <c r="E16" s="47">
        <f t="shared" si="2"/>
        <v>332.1</v>
      </c>
      <c r="F16" s="43">
        <v>6.3759999999999994</v>
      </c>
      <c r="G16" s="26">
        <f t="shared" si="0"/>
        <v>2117.4696</v>
      </c>
      <c r="H16" s="26">
        <f t="shared" si="3"/>
        <v>1270.48176</v>
      </c>
      <c r="J16" s="118"/>
    </row>
    <row r="17" spans="1:10" s="17" customFormat="1" ht="13.5" hidden="1" outlineLevel="1" thickBot="1">
      <c r="A17" s="27">
        <v>37043</v>
      </c>
      <c r="B17" s="28">
        <v>37074</v>
      </c>
      <c r="C17" s="29">
        <v>54761</v>
      </c>
      <c r="D17" s="30">
        <f t="shared" si="1"/>
        <v>1286</v>
      </c>
      <c r="E17" s="48">
        <f t="shared" si="2"/>
        <v>128.6</v>
      </c>
      <c r="F17" s="50">
        <v>6.3759999999999994</v>
      </c>
      <c r="G17" s="31">
        <f t="shared" si="0"/>
        <v>819.9535999999999</v>
      </c>
      <c r="H17" s="31">
        <f t="shared" si="3"/>
        <v>491.9721599999999</v>
      </c>
      <c r="I17" s="18"/>
      <c r="J17" s="118"/>
    </row>
    <row r="18" spans="1:10" s="17" customFormat="1" ht="12.75" hidden="1" outlineLevel="1">
      <c r="A18" s="114">
        <v>37073</v>
      </c>
      <c r="B18" s="113">
        <v>36744</v>
      </c>
      <c r="C18" s="115">
        <v>56268</v>
      </c>
      <c r="D18" s="25">
        <f aca="true" t="shared" si="4" ref="D18:D28">C18-C17</f>
        <v>1507</v>
      </c>
      <c r="E18" s="116">
        <f t="shared" si="2"/>
        <v>150.7</v>
      </c>
      <c r="F18" s="274">
        <v>6.38</v>
      </c>
      <c r="G18" s="117">
        <f t="shared" si="0"/>
        <v>961.4659999999999</v>
      </c>
      <c r="H18" s="107">
        <f t="shared" si="3"/>
        <v>576.8795999999999</v>
      </c>
      <c r="J18" s="118"/>
    </row>
    <row r="19" spans="1:10" s="17" customFormat="1" ht="12.75" hidden="1" outlineLevel="1">
      <c r="A19" s="119">
        <v>37104</v>
      </c>
      <c r="B19" s="24">
        <v>37139</v>
      </c>
      <c r="C19" s="25">
        <v>58010</v>
      </c>
      <c r="D19" s="25">
        <f t="shared" si="4"/>
        <v>1742</v>
      </c>
      <c r="E19" s="47">
        <f t="shared" si="2"/>
        <v>174.2</v>
      </c>
      <c r="F19" s="43">
        <v>6.38</v>
      </c>
      <c r="G19" s="26">
        <f t="shared" si="0"/>
        <v>1111.396</v>
      </c>
      <c r="H19" s="26">
        <f t="shared" si="3"/>
        <v>666.8376</v>
      </c>
      <c r="J19" s="118"/>
    </row>
    <row r="20" spans="1:10" s="17" customFormat="1" ht="12.75" hidden="1" outlineLevel="1">
      <c r="A20" s="119">
        <v>37135</v>
      </c>
      <c r="B20" s="24">
        <v>37169</v>
      </c>
      <c r="C20" s="25">
        <v>60267</v>
      </c>
      <c r="D20" s="25">
        <f t="shared" si="4"/>
        <v>2257</v>
      </c>
      <c r="E20" s="47">
        <f t="shared" si="2"/>
        <v>225.7</v>
      </c>
      <c r="F20" s="43">
        <v>6.38</v>
      </c>
      <c r="G20" s="26">
        <f t="shared" si="0"/>
        <v>1439.966</v>
      </c>
      <c r="H20" s="26">
        <f t="shared" si="3"/>
        <v>863.9795999999999</v>
      </c>
      <c r="J20" s="118"/>
    </row>
    <row r="21" spans="1:8" s="17" customFormat="1" ht="12.75" hidden="1" outlineLevel="1">
      <c r="A21" s="119">
        <v>37165</v>
      </c>
      <c r="B21" s="24">
        <v>37202</v>
      </c>
      <c r="C21" s="25">
        <v>63598</v>
      </c>
      <c r="D21" s="25">
        <f t="shared" si="4"/>
        <v>3331</v>
      </c>
      <c r="E21" s="47">
        <f t="shared" si="2"/>
        <v>333.1</v>
      </c>
      <c r="F21" s="43">
        <v>6.38</v>
      </c>
      <c r="G21" s="26">
        <f t="shared" si="0"/>
        <v>2125.178</v>
      </c>
      <c r="H21" s="26">
        <f t="shared" si="3"/>
        <v>1275.1067999999998</v>
      </c>
    </row>
    <row r="22" spans="1:8" s="17" customFormat="1" ht="12.75" hidden="1" outlineLevel="1">
      <c r="A22" s="119">
        <v>37196</v>
      </c>
      <c r="B22" s="24">
        <v>37595</v>
      </c>
      <c r="C22" s="25">
        <v>65510</v>
      </c>
      <c r="D22" s="25">
        <f t="shared" si="4"/>
        <v>1912</v>
      </c>
      <c r="E22" s="47">
        <f t="shared" si="2"/>
        <v>191.2</v>
      </c>
      <c r="F22" s="43">
        <v>6.38</v>
      </c>
      <c r="G22" s="26">
        <f t="shared" si="0"/>
        <v>1219.856</v>
      </c>
      <c r="H22" s="26">
        <f t="shared" si="3"/>
        <v>731.9136</v>
      </c>
    </row>
    <row r="23" spans="1:8" s="17" customFormat="1" ht="12.75" hidden="1" outlineLevel="1">
      <c r="A23" s="119">
        <v>37226</v>
      </c>
      <c r="B23" s="24">
        <v>37263</v>
      </c>
      <c r="C23" s="25">
        <v>68484</v>
      </c>
      <c r="D23" s="25">
        <f t="shared" si="4"/>
        <v>2974</v>
      </c>
      <c r="E23" s="47">
        <f t="shared" si="2"/>
        <v>297.4</v>
      </c>
      <c r="F23" s="43">
        <v>6.38</v>
      </c>
      <c r="G23" s="26">
        <f t="shared" si="0"/>
        <v>1897.4119999999998</v>
      </c>
      <c r="H23" s="26">
        <f t="shared" si="3"/>
        <v>1138.4471999999998</v>
      </c>
    </row>
    <row r="24" spans="1:8" s="17" customFormat="1" ht="12.75" hidden="1" outlineLevel="1">
      <c r="A24" s="119">
        <v>37257</v>
      </c>
      <c r="B24" s="24">
        <v>37298</v>
      </c>
      <c r="C24" s="25">
        <v>71231</v>
      </c>
      <c r="D24" s="25">
        <f t="shared" si="4"/>
        <v>2747</v>
      </c>
      <c r="E24" s="47">
        <f t="shared" si="2"/>
        <v>274.7</v>
      </c>
      <c r="F24" s="43">
        <v>6.38</v>
      </c>
      <c r="G24" s="26">
        <f t="shared" si="0"/>
        <v>1752.5859999999998</v>
      </c>
      <c r="H24" s="26">
        <f t="shared" si="3"/>
        <v>1051.5515999999998</v>
      </c>
    </row>
    <row r="25" spans="1:8" s="17" customFormat="1" ht="12.75" hidden="1" outlineLevel="1">
      <c r="A25" s="119">
        <v>37288</v>
      </c>
      <c r="B25" s="24">
        <v>37323</v>
      </c>
      <c r="C25" s="25">
        <v>73280</v>
      </c>
      <c r="D25" s="25">
        <f t="shared" si="4"/>
        <v>2049</v>
      </c>
      <c r="E25" s="47">
        <f t="shared" si="2"/>
        <v>204.9</v>
      </c>
      <c r="F25" s="43">
        <v>6.38</v>
      </c>
      <c r="G25" s="26">
        <f t="shared" si="0"/>
        <v>1307.262</v>
      </c>
      <c r="H25" s="26">
        <f t="shared" si="3"/>
        <v>784.3571999999999</v>
      </c>
    </row>
    <row r="26" spans="1:8" s="17" customFormat="1" ht="12.75" hidden="1" outlineLevel="1">
      <c r="A26" s="119">
        <v>37316</v>
      </c>
      <c r="B26" s="24">
        <v>37351</v>
      </c>
      <c r="C26" s="25">
        <v>76095</v>
      </c>
      <c r="D26" s="25">
        <f t="shared" si="4"/>
        <v>2815</v>
      </c>
      <c r="E26" s="47">
        <f>D26/10</f>
        <v>281.5</v>
      </c>
      <c r="F26" s="43">
        <v>6.38</v>
      </c>
      <c r="G26" s="26">
        <f t="shared" si="0"/>
        <v>1795.97</v>
      </c>
      <c r="H26" s="26">
        <f t="shared" si="3"/>
        <v>1077.5819999999999</v>
      </c>
    </row>
    <row r="27" spans="1:8" s="17" customFormat="1" ht="12.75" hidden="1" outlineLevel="1">
      <c r="A27" s="119">
        <v>37347</v>
      </c>
      <c r="B27" s="24">
        <v>37393</v>
      </c>
      <c r="C27" s="25">
        <v>79309</v>
      </c>
      <c r="D27" s="25">
        <f t="shared" si="4"/>
        <v>3214</v>
      </c>
      <c r="E27" s="47">
        <f t="shared" si="2"/>
        <v>321.4</v>
      </c>
      <c r="F27" s="43">
        <v>6.38</v>
      </c>
      <c r="G27" s="26">
        <f t="shared" si="0"/>
        <v>2050.5319999999997</v>
      </c>
      <c r="H27" s="26">
        <f t="shared" si="3"/>
        <v>1230.3191999999997</v>
      </c>
    </row>
    <row r="28" spans="1:8" s="17" customFormat="1" ht="12.75" hidden="1" outlineLevel="1">
      <c r="A28" s="119">
        <v>37377</v>
      </c>
      <c r="B28" s="24">
        <v>37421</v>
      </c>
      <c r="C28" s="25">
        <v>81650</v>
      </c>
      <c r="D28" s="25">
        <f t="shared" si="4"/>
        <v>2341</v>
      </c>
      <c r="E28" s="47">
        <f t="shared" si="2"/>
        <v>234.1</v>
      </c>
      <c r="F28" s="43">
        <v>6.38</v>
      </c>
      <c r="G28" s="26">
        <f t="shared" si="0"/>
        <v>1493.558</v>
      </c>
      <c r="H28" s="26">
        <f t="shared" si="3"/>
        <v>896.1347999999999</v>
      </c>
    </row>
    <row r="29" spans="1:9" s="17" customFormat="1" ht="13.5" hidden="1" outlineLevel="1" thickBot="1">
      <c r="A29" s="120">
        <v>37408</v>
      </c>
      <c r="B29" s="55">
        <v>37439</v>
      </c>
      <c r="C29" s="30">
        <v>82688</v>
      </c>
      <c r="D29" s="30">
        <f aca="true" t="shared" si="5" ref="D29:D40">C29-C28</f>
        <v>1038</v>
      </c>
      <c r="E29" s="48">
        <f t="shared" si="2"/>
        <v>103.8</v>
      </c>
      <c r="F29" s="50">
        <v>6.38</v>
      </c>
      <c r="G29" s="31">
        <f t="shared" si="0"/>
        <v>662.2439999999999</v>
      </c>
      <c r="H29" s="31">
        <f t="shared" si="3"/>
        <v>397.34639999999996</v>
      </c>
      <c r="I29" s="18"/>
    </row>
    <row r="30" spans="1:10" s="17" customFormat="1" ht="12.75" collapsed="1">
      <c r="A30" s="149">
        <v>37438</v>
      </c>
      <c r="B30" s="191">
        <v>37476</v>
      </c>
      <c r="C30" s="192">
        <v>84810</v>
      </c>
      <c r="D30" s="192">
        <f t="shared" si="5"/>
        <v>2122</v>
      </c>
      <c r="E30" s="193">
        <f t="shared" si="2"/>
        <v>212.2</v>
      </c>
      <c r="F30" s="275">
        <v>4.741</v>
      </c>
      <c r="G30" s="194">
        <f t="shared" si="0"/>
        <v>1006.0401999999999</v>
      </c>
      <c r="H30" s="195">
        <f t="shared" si="3"/>
        <v>603.62412</v>
      </c>
      <c r="J30" s="118"/>
    </row>
    <row r="31" spans="1:10" s="17" customFormat="1" ht="12.75">
      <c r="A31" s="196">
        <v>37469</v>
      </c>
      <c r="B31" s="168">
        <v>37502</v>
      </c>
      <c r="C31" s="197">
        <v>85318</v>
      </c>
      <c r="D31" s="197">
        <f t="shared" si="5"/>
        <v>508</v>
      </c>
      <c r="E31" s="198">
        <f t="shared" si="2"/>
        <v>50.8</v>
      </c>
      <c r="F31" s="276">
        <v>4.741</v>
      </c>
      <c r="G31" s="199">
        <f t="shared" si="0"/>
        <v>240.84279999999998</v>
      </c>
      <c r="H31" s="199">
        <f t="shared" si="3"/>
        <v>144.50567999999998</v>
      </c>
      <c r="J31" s="118"/>
    </row>
    <row r="32" spans="1:10" s="17" customFormat="1" ht="12.75">
      <c r="A32" s="196">
        <v>37500</v>
      </c>
      <c r="B32" s="168">
        <v>37531</v>
      </c>
      <c r="C32" s="197">
        <v>86411</v>
      </c>
      <c r="D32" s="197">
        <f t="shared" si="5"/>
        <v>1093</v>
      </c>
      <c r="E32" s="198">
        <f t="shared" si="2"/>
        <v>109.3</v>
      </c>
      <c r="F32" s="276">
        <v>4.741</v>
      </c>
      <c r="G32" s="199">
        <f t="shared" si="0"/>
        <v>518.1913</v>
      </c>
      <c r="H32" s="199">
        <f t="shared" si="3"/>
        <v>310.91477999999995</v>
      </c>
      <c r="J32" s="118"/>
    </row>
    <row r="33" spans="1:8" s="17" customFormat="1" ht="12.75">
      <c r="A33" s="119">
        <v>37530</v>
      </c>
      <c r="B33" s="24">
        <v>37571</v>
      </c>
      <c r="C33" s="25">
        <v>89529</v>
      </c>
      <c r="D33" s="25">
        <f t="shared" si="5"/>
        <v>3118</v>
      </c>
      <c r="E33" s="47">
        <f>D33/10</f>
        <v>311.8</v>
      </c>
      <c r="F33" s="276">
        <v>4.741</v>
      </c>
      <c r="G33" s="26">
        <f t="shared" si="0"/>
        <v>1478.2438</v>
      </c>
      <c r="H33" s="26">
        <f t="shared" si="3"/>
        <v>886.94628</v>
      </c>
    </row>
    <row r="34" spans="1:8" s="17" customFormat="1" ht="12.75">
      <c r="A34" s="119">
        <v>37561</v>
      </c>
      <c r="B34" s="24">
        <v>37593</v>
      </c>
      <c r="C34" s="25">
        <v>91315</v>
      </c>
      <c r="D34" s="25">
        <f t="shared" si="5"/>
        <v>1786</v>
      </c>
      <c r="E34" s="47">
        <f>D34/10</f>
        <v>178.6</v>
      </c>
      <c r="F34" s="276">
        <v>4.741</v>
      </c>
      <c r="G34" s="26">
        <f t="shared" si="0"/>
        <v>846.7425999999999</v>
      </c>
      <c r="H34" s="26">
        <f t="shared" si="3"/>
        <v>508.0455599999999</v>
      </c>
    </row>
    <row r="35" spans="1:8" s="17" customFormat="1" ht="12.75">
      <c r="A35" s="119">
        <v>37591</v>
      </c>
      <c r="B35" s="24">
        <v>37624</v>
      </c>
      <c r="C35" s="25">
        <v>91315</v>
      </c>
      <c r="D35" s="25"/>
      <c r="E35" s="200">
        <f>(E23+E11)/2</f>
        <v>233.45</v>
      </c>
      <c r="F35" s="276">
        <v>4.741</v>
      </c>
      <c r="G35" s="26">
        <f t="shared" si="0"/>
        <v>1106.7864499999998</v>
      </c>
      <c r="H35" s="26">
        <f t="shared" si="3"/>
        <v>664.0718699999999</v>
      </c>
    </row>
    <row r="36" spans="1:8" s="147" customFormat="1" ht="12.75">
      <c r="A36" s="196">
        <v>37622</v>
      </c>
      <c r="B36" s="168">
        <v>37652</v>
      </c>
      <c r="C36" s="197">
        <v>93817</v>
      </c>
      <c r="D36" s="197">
        <f>C36-C35</f>
        <v>2502</v>
      </c>
      <c r="E36" s="198">
        <f>D36/10</f>
        <v>250.2</v>
      </c>
      <c r="F36" s="276">
        <v>4.741</v>
      </c>
      <c r="G36" s="199">
        <f t="shared" si="0"/>
        <v>1186.1981999999998</v>
      </c>
      <c r="H36" s="199">
        <f t="shared" si="3"/>
        <v>711.7189199999999</v>
      </c>
    </row>
    <row r="37" spans="1:8" s="147" customFormat="1" ht="12.75">
      <c r="A37" s="196">
        <v>37653</v>
      </c>
      <c r="B37" s="168">
        <v>37680</v>
      </c>
      <c r="C37" s="197">
        <v>96736</v>
      </c>
      <c r="D37" s="197">
        <f t="shared" si="5"/>
        <v>2919</v>
      </c>
      <c r="E37" s="198">
        <f>D37/10</f>
        <v>291.9</v>
      </c>
      <c r="F37" s="276">
        <v>4.741</v>
      </c>
      <c r="G37" s="199">
        <f t="shared" si="0"/>
        <v>1383.8978999999997</v>
      </c>
      <c r="H37" s="199">
        <f t="shared" si="3"/>
        <v>830.3387399999998</v>
      </c>
    </row>
    <row r="38" spans="1:8" s="147" customFormat="1" ht="12.75">
      <c r="A38" s="196">
        <v>37681</v>
      </c>
      <c r="B38" s="168">
        <v>37711</v>
      </c>
      <c r="C38" s="197">
        <v>100529</v>
      </c>
      <c r="D38" s="197">
        <f t="shared" si="5"/>
        <v>3793</v>
      </c>
      <c r="E38" s="198">
        <f>D38/10</f>
        <v>379.3</v>
      </c>
      <c r="F38" s="276">
        <v>4.741</v>
      </c>
      <c r="G38" s="199">
        <f t="shared" si="0"/>
        <v>1798.2613</v>
      </c>
      <c r="H38" s="199">
        <f t="shared" si="3"/>
        <v>1078.95678</v>
      </c>
    </row>
    <row r="39" spans="1:8" s="147" customFormat="1" ht="12.75">
      <c r="A39" s="196">
        <v>37712</v>
      </c>
      <c r="B39" s="168">
        <v>37741</v>
      </c>
      <c r="C39" s="197">
        <v>103530</v>
      </c>
      <c r="D39" s="197">
        <f t="shared" si="5"/>
        <v>3001</v>
      </c>
      <c r="E39" s="198">
        <f>(E27+E15)/2</f>
        <v>304.5</v>
      </c>
      <c r="F39" s="276">
        <v>4.741</v>
      </c>
      <c r="G39" s="199">
        <f t="shared" si="0"/>
        <v>1443.6345</v>
      </c>
      <c r="H39" s="199">
        <f t="shared" si="3"/>
        <v>866.1806999999999</v>
      </c>
    </row>
    <row r="40" spans="1:10" s="147" customFormat="1" ht="12.75">
      <c r="A40" s="196">
        <v>37742</v>
      </c>
      <c r="B40" s="168">
        <v>37775</v>
      </c>
      <c r="C40" s="197">
        <v>107840</v>
      </c>
      <c r="D40" s="197">
        <f t="shared" si="5"/>
        <v>4310</v>
      </c>
      <c r="E40" s="198">
        <f>(E28+E16)/2</f>
        <v>283.1</v>
      </c>
      <c r="F40" s="276">
        <v>4.741</v>
      </c>
      <c r="G40" s="199">
        <f t="shared" si="0"/>
        <v>1342.1771</v>
      </c>
      <c r="H40" s="199">
        <f t="shared" si="3"/>
        <v>805.3062600000001</v>
      </c>
      <c r="I40" s="188" t="s">
        <v>37</v>
      </c>
      <c r="J40" s="147" t="s">
        <v>8</v>
      </c>
    </row>
    <row r="41" spans="1:10" s="147" customFormat="1" ht="13.5" thickBot="1">
      <c r="A41" s="152">
        <v>37773</v>
      </c>
      <c r="B41" s="173">
        <v>37803</v>
      </c>
      <c r="C41" s="201">
        <v>109445</v>
      </c>
      <c r="D41" s="201">
        <f>C41-C40</f>
        <v>1605</v>
      </c>
      <c r="E41" s="202">
        <f>(E29+E17)/2</f>
        <v>116.19999999999999</v>
      </c>
      <c r="F41" s="277">
        <v>4.741</v>
      </c>
      <c r="G41" s="203">
        <f t="shared" si="0"/>
        <v>550.9042</v>
      </c>
      <c r="H41" s="203">
        <f t="shared" si="3"/>
        <v>330.54251999999997</v>
      </c>
      <c r="I41" s="450">
        <f>SUM(E30:E41)</f>
        <v>2721.35</v>
      </c>
      <c r="J41" s="449">
        <f>SUM(H30:H41)</f>
        <v>7741.152209999999</v>
      </c>
    </row>
    <row r="42" spans="1:8" s="147" customFormat="1" ht="12.75">
      <c r="A42" s="196">
        <v>37803</v>
      </c>
      <c r="B42" s="24">
        <v>37834</v>
      </c>
      <c r="C42" s="170">
        <v>110810</v>
      </c>
      <c r="D42" s="192">
        <f>C42-C41</f>
        <v>1365</v>
      </c>
      <c r="E42" s="357">
        <f>D42/10</f>
        <v>136.5</v>
      </c>
      <c r="F42" s="358">
        <v>5.834951456310679</v>
      </c>
      <c r="G42" s="359">
        <f>E42*F42</f>
        <v>796.4708737864078</v>
      </c>
      <c r="H42" s="359">
        <f t="shared" si="3"/>
        <v>477.88252427184466</v>
      </c>
    </row>
    <row r="43" spans="1:8" s="147" customFormat="1" ht="12.75">
      <c r="A43" s="196">
        <v>37834</v>
      </c>
      <c r="B43" s="168">
        <v>37866</v>
      </c>
      <c r="C43" s="197">
        <v>112349</v>
      </c>
      <c r="D43" s="197">
        <f>C43-C42</f>
        <v>1539</v>
      </c>
      <c r="E43" s="198">
        <f>D43/10</f>
        <v>153.9</v>
      </c>
      <c r="F43" s="276">
        <v>5.834951456310679</v>
      </c>
      <c r="G43" s="199">
        <f>E43*F43</f>
        <v>897.9990291262136</v>
      </c>
      <c r="H43" s="199">
        <f t="shared" si="3"/>
        <v>538.7994174757281</v>
      </c>
    </row>
    <row r="44" spans="1:8" s="147" customFormat="1" ht="12.75">
      <c r="A44" s="196">
        <v>37865</v>
      </c>
      <c r="B44" s="168">
        <v>37888</v>
      </c>
      <c r="C44" s="197">
        <v>113092</v>
      </c>
      <c r="D44" s="197">
        <f aca="true" t="shared" si="6" ref="D44:D50">C44-C43</f>
        <v>743</v>
      </c>
      <c r="E44" s="198">
        <f>D44/10</f>
        <v>74.3</v>
      </c>
      <c r="F44" s="276">
        <v>5.834951456310679</v>
      </c>
      <c r="G44" s="199">
        <f>E44*F44</f>
        <v>433.53689320388344</v>
      </c>
      <c r="H44" s="199">
        <f t="shared" si="3"/>
        <v>260.1221359223301</v>
      </c>
    </row>
    <row r="45" spans="1:8" s="17" customFormat="1" ht="12.75">
      <c r="A45" s="360">
        <v>37895</v>
      </c>
      <c r="B45" s="244">
        <v>37918</v>
      </c>
      <c r="C45" s="197">
        <v>114987</v>
      </c>
      <c r="D45" s="197">
        <f t="shared" si="6"/>
        <v>1895</v>
      </c>
      <c r="E45" s="198">
        <f aca="true" t="shared" si="7" ref="E45:E53">D45/10</f>
        <v>189.5</v>
      </c>
      <c r="F45" s="276">
        <v>5.834951456310679</v>
      </c>
      <c r="G45" s="199">
        <f aca="true" t="shared" si="8" ref="G45:G50">E45*F45</f>
        <v>1105.7233009708737</v>
      </c>
      <c r="H45" s="199">
        <f t="shared" si="3"/>
        <v>663.4339805825242</v>
      </c>
    </row>
    <row r="46" spans="1:8" s="17" customFormat="1" ht="12.75">
      <c r="A46" s="360">
        <v>37926</v>
      </c>
      <c r="B46" s="244">
        <v>37946</v>
      </c>
      <c r="C46" s="25">
        <v>115948</v>
      </c>
      <c r="D46" s="197">
        <f t="shared" si="6"/>
        <v>961</v>
      </c>
      <c r="E46" s="198">
        <f t="shared" si="7"/>
        <v>96.1</v>
      </c>
      <c r="F46" s="276">
        <v>5.834951456310679</v>
      </c>
      <c r="G46" s="199">
        <f t="shared" si="8"/>
        <v>560.7388349514563</v>
      </c>
      <c r="H46" s="199">
        <f t="shared" si="3"/>
        <v>336.44330097087374</v>
      </c>
    </row>
    <row r="47" spans="1:8" s="147" customFormat="1" ht="12.75">
      <c r="A47" s="360">
        <v>37956</v>
      </c>
      <c r="B47" s="247">
        <v>37984</v>
      </c>
      <c r="C47" s="197">
        <v>118384</v>
      </c>
      <c r="D47" s="197">
        <f t="shared" si="6"/>
        <v>2436</v>
      </c>
      <c r="E47" s="198">
        <f t="shared" si="7"/>
        <v>243.6</v>
      </c>
      <c r="F47" s="276">
        <v>5.834951456310679</v>
      </c>
      <c r="G47" s="199">
        <f t="shared" si="8"/>
        <v>1421.3941747572815</v>
      </c>
      <c r="H47" s="199">
        <f t="shared" si="3"/>
        <v>852.8365048543689</v>
      </c>
    </row>
    <row r="48" spans="1:8" s="147" customFormat="1" ht="12.75">
      <c r="A48" s="360">
        <v>37987</v>
      </c>
      <c r="B48" s="247">
        <v>38015</v>
      </c>
      <c r="C48" s="197">
        <v>121103</v>
      </c>
      <c r="D48" s="197">
        <f t="shared" si="6"/>
        <v>2719</v>
      </c>
      <c r="E48" s="198">
        <f t="shared" si="7"/>
        <v>271.9</v>
      </c>
      <c r="F48" s="276">
        <v>5.834951456310679</v>
      </c>
      <c r="G48" s="199">
        <f t="shared" si="8"/>
        <v>1586.5233009708736</v>
      </c>
      <c r="H48" s="199">
        <f t="shared" si="3"/>
        <v>951.9139805825241</v>
      </c>
    </row>
    <row r="49" spans="1:8" s="147" customFormat="1" ht="12.75">
      <c r="A49" s="360">
        <v>38018</v>
      </c>
      <c r="B49" s="247">
        <v>38042</v>
      </c>
      <c r="C49" s="197">
        <v>123778</v>
      </c>
      <c r="D49" s="197">
        <f t="shared" si="6"/>
        <v>2675</v>
      </c>
      <c r="E49" s="198">
        <f t="shared" si="7"/>
        <v>267.5</v>
      </c>
      <c r="F49" s="276">
        <v>5.834951456310679</v>
      </c>
      <c r="G49" s="199">
        <f t="shared" si="8"/>
        <v>1560.8495145631066</v>
      </c>
      <c r="H49" s="199">
        <f t="shared" si="3"/>
        <v>936.5097087378639</v>
      </c>
    </row>
    <row r="50" spans="1:8" s="147" customFormat="1" ht="12.75">
      <c r="A50" s="360">
        <v>38047</v>
      </c>
      <c r="B50" s="247">
        <v>38069</v>
      </c>
      <c r="C50" s="197">
        <v>127078</v>
      </c>
      <c r="D50" s="197">
        <f t="shared" si="6"/>
        <v>3300</v>
      </c>
      <c r="E50" s="198">
        <f t="shared" si="7"/>
        <v>330</v>
      </c>
      <c r="F50" s="276">
        <v>5.834951456310679</v>
      </c>
      <c r="G50" s="199">
        <f t="shared" si="8"/>
        <v>1925.5339805825242</v>
      </c>
      <c r="H50" s="199">
        <f t="shared" si="3"/>
        <v>1155.3203883495146</v>
      </c>
    </row>
    <row r="51" spans="1:8" s="147" customFormat="1" ht="12.75">
      <c r="A51" s="360">
        <v>38078</v>
      </c>
      <c r="B51" s="247">
        <v>38104</v>
      </c>
      <c r="C51" s="197">
        <v>131528</v>
      </c>
      <c r="D51" s="197">
        <f>C51-C50</f>
        <v>4450</v>
      </c>
      <c r="E51" s="198">
        <f t="shared" si="7"/>
        <v>445</v>
      </c>
      <c r="F51" s="276">
        <v>5.834951456310679</v>
      </c>
      <c r="G51" s="199">
        <f>E51*F51</f>
        <v>2596.5533980582522</v>
      </c>
      <c r="H51" s="199">
        <f t="shared" si="3"/>
        <v>1557.9320388349513</v>
      </c>
    </row>
    <row r="52" spans="1:10" s="147" customFormat="1" ht="12.75">
      <c r="A52" s="360">
        <v>38108</v>
      </c>
      <c r="B52" s="247">
        <v>38133</v>
      </c>
      <c r="C52" s="197">
        <v>134886</v>
      </c>
      <c r="D52" s="197">
        <f>C52-C51</f>
        <v>3358</v>
      </c>
      <c r="E52" s="198">
        <f t="shared" si="7"/>
        <v>335.8</v>
      </c>
      <c r="F52" s="276">
        <v>5.834951456310679</v>
      </c>
      <c r="G52" s="199">
        <f>E52*F52</f>
        <v>1959.3766990291263</v>
      </c>
      <c r="H52" s="199">
        <f t="shared" si="3"/>
        <v>1175.6260194174756</v>
      </c>
      <c r="I52" s="188" t="s">
        <v>37</v>
      </c>
      <c r="J52" s="147" t="s">
        <v>8</v>
      </c>
    </row>
    <row r="53" spans="1:10" s="154" customFormat="1" ht="13.5" thickBot="1">
      <c r="A53" s="361">
        <v>38139</v>
      </c>
      <c r="B53" s="246">
        <v>38161</v>
      </c>
      <c r="C53" s="279">
        <v>137851</v>
      </c>
      <c r="D53" s="201">
        <f>C53-C52</f>
        <v>2965</v>
      </c>
      <c r="E53" s="362">
        <f t="shared" si="7"/>
        <v>296.5</v>
      </c>
      <c r="F53" s="211">
        <v>5.834951456310679</v>
      </c>
      <c r="G53" s="250">
        <f>E53*F53</f>
        <v>1730.0631067961165</v>
      </c>
      <c r="H53" s="250">
        <f t="shared" si="3"/>
        <v>1038.0378640776698</v>
      </c>
      <c r="I53" s="450">
        <f>SUM(E42:E53)</f>
        <v>2840.6000000000004</v>
      </c>
      <c r="J53" s="449">
        <f>SUM(H42:H53)</f>
        <v>9944.857864077669</v>
      </c>
    </row>
    <row r="54" spans="1:9" s="154" customFormat="1" ht="12.75">
      <c r="A54" s="406">
        <v>38195</v>
      </c>
      <c r="B54" s="191">
        <v>38195</v>
      </c>
      <c r="C54" s="204">
        <v>141539</v>
      </c>
      <c r="D54" s="170">
        <f aca="true" t="shared" si="9" ref="D54:D85">C54-C53</f>
        <v>3688</v>
      </c>
      <c r="E54" s="407">
        <f>D54/10</f>
        <v>368.8</v>
      </c>
      <c r="F54" s="275">
        <v>6.504854368932038</v>
      </c>
      <c r="G54" s="408">
        <f>E54*F54</f>
        <v>2398.9902912621355</v>
      </c>
      <c r="H54" s="195">
        <f>G54*0.6</f>
        <v>1439.3941747572812</v>
      </c>
      <c r="I54" s="534">
        <f>(I53-I41)/I41</f>
        <v>0.04382016278685228</v>
      </c>
    </row>
    <row r="55" spans="1:8" ht="12.75">
      <c r="A55" s="155">
        <v>38200</v>
      </c>
      <c r="B55" s="168">
        <v>38229</v>
      </c>
      <c r="C55" s="169">
        <v>144267</v>
      </c>
      <c r="D55" s="197">
        <f t="shared" si="9"/>
        <v>2728</v>
      </c>
      <c r="E55" s="409">
        <f aca="true" t="shared" si="10" ref="E55:E65">D55/10</f>
        <v>272.8</v>
      </c>
      <c r="F55" s="276">
        <v>6.504854368932038</v>
      </c>
      <c r="G55" s="410">
        <f aca="true" t="shared" si="11" ref="G55:G65">E55*F55</f>
        <v>1774.52427184466</v>
      </c>
      <c r="H55" s="199">
        <f aca="true" t="shared" si="12" ref="H55:H68">G55*0.6</f>
        <v>1064.714563106796</v>
      </c>
    </row>
    <row r="56" spans="1:8" ht="12.75">
      <c r="A56" s="155">
        <v>38231</v>
      </c>
      <c r="B56" s="168">
        <v>38257</v>
      </c>
      <c r="C56" s="169">
        <v>146889</v>
      </c>
      <c r="D56" s="197">
        <f t="shared" si="9"/>
        <v>2622</v>
      </c>
      <c r="E56" s="409">
        <f t="shared" si="10"/>
        <v>262.2</v>
      </c>
      <c r="F56" s="276">
        <v>6.504854368932038</v>
      </c>
      <c r="G56" s="410">
        <f t="shared" si="11"/>
        <v>1705.5728155339802</v>
      </c>
      <c r="H56" s="199">
        <f t="shared" si="12"/>
        <v>1023.3436893203881</v>
      </c>
    </row>
    <row r="57" spans="1:8" ht="12.75">
      <c r="A57" s="155">
        <v>38261</v>
      </c>
      <c r="B57" s="168">
        <v>38288</v>
      </c>
      <c r="C57" s="169">
        <v>150173</v>
      </c>
      <c r="D57" s="197">
        <f t="shared" si="9"/>
        <v>3284</v>
      </c>
      <c r="E57" s="409">
        <f t="shared" si="10"/>
        <v>328.4</v>
      </c>
      <c r="F57" s="276">
        <v>6.504854368932038</v>
      </c>
      <c r="G57" s="410">
        <f t="shared" si="11"/>
        <v>2136.194174757281</v>
      </c>
      <c r="H57" s="199">
        <f t="shared" si="12"/>
        <v>1281.7165048543686</v>
      </c>
    </row>
    <row r="58" spans="1:8" ht="12.75">
      <c r="A58" s="155">
        <v>38292</v>
      </c>
      <c r="B58" s="168">
        <v>38320</v>
      </c>
      <c r="C58" s="169">
        <v>153619</v>
      </c>
      <c r="D58" s="197">
        <f t="shared" si="9"/>
        <v>3446</v>
      </c>
      <c r="E58" s="409">
        <f t="shared" si="10"/>
        <v>344.6</v>
      </c>
      <c r="F58" s="276">
        <v>6.504854368932038</v>
      </c>
      <c r="G58" s="410">
        <f t="shared" si="11"/>
        <v>2241.5728155339802</v>
      </c>
      <c r="H58" s="199">
        <f t="shared" si="12"/>
        <v>1344.943689320388</v>
      </c>
    </row>
    <row r="59" spans="1:8" s="129" customFormat="1" ht="12.75">
      <c r="A59" s="155">
        <v>38322</v>
      </c>
      <c r="B59" s="168">
        <v>38355</v>
      </c>
      <c r="C59" s="169">
        <v>157748</v>
      </c>
      <c r="D59" s="197">
        <f t="shared" si="9"/>
        <v>4129</v>
      </c>
      <c r="E59" s="409">
        <f t="shared" si="10"/>
        <v>412.9</v>
      </c>
      <c r="F59" s="276">
        <v>6.504854368932038</v>
      </c>
      <c r="G59" s="410">
        <f t="shared" si="11"/>
        <v>2685.854368932038</v>
      </c>
      <c r="H59" s="199">
        <f t="shared" si="12"/>
        <v>1611.5126213592227</v>
      </c>
    </row>
    <row r="60" spans="1:8" s="129" customFormat="1" ht="12.75">
      <c r="A60" s="155">
        <v>38353</v>
      </c>
      <c r="B60" s="168">
        <v>38383</v>
      </c>
      <c r="C60" s="169">
        <v>161806</v>
      </c>
      <c r="D60" s="197">
        <f t="shared" si="9"/>
        <v>4058</v>
      </c>
      <c r="E60" s="409">
        <f t="shared" si="10"/>
        <v>405.8</v>
      </c>
      <c r="F60" s="276">
        <v>6.504854368932038</v>
      </c>
      <c r="G60" s="410">
        <f t="shared" si="11"/>
        <v>2639.669902912621</v>
      </c>
      <c r="H60" s="199">
        <f t="shared" si="12"/>
        <v>1583.8019417475728</v>
      </c>
    </row>
    <row r="61" spans="1:8" s="129" customFormat="1" ht="12.75">
      <c r="A61" s="155">
        <v>38384</v>
      </c>
      <c r="B61" s="168">
        <v>38411</v>
      </c>
      <c r="C61" s="169">
        <v>166492</v>
      </c>
      <c r="D61" s="197">
        <f t="shared" si="9"/>
        <v>4686</v>
      </c>
      <c r="E61" s="409">
        <f t="shared" si="10"/>
        <v>468.6</v>
      </c>
      <c r="F61" s="276">
        <v>6.504854368932038</v>
      </c>
      <c r="G61" s="410">
        <f t="shared" si="11"/>
        <v>3048.174757281553</v>
      </c>
      <c r="H61" s="199">
        <f t="shared" si="12"/>
        <v>1828.9048543689316</v>
      </c>
    </row>
    <row r="62" spans="1:8" s="129" customFormat="1" ht="12.75">
      <c r="A62" s="155">
        <v>38412</v>
      </c>
      <c r="B62" s="168">
        <v>38433</v>
      </c>
      <c r="C62" s="169">
        <v>170470</v>
      </c>
      <c r="D62" s="197">
        <f t="shared" si="9"/>
        <v>3978</v>
      </c>
      <c r="E62" s="409">
        <f t="shared" si="10"/>
        <v>397.8</v>
      </c>
      <c r="F62" s="276">
        <v>6.504854368932038</v>
      </c>
      <c r="G62" s="410">
        <f t="shared" si="11"/>
        <v>2587.6310679611647</v>
      </c>
      <c r="H62" s="199">
        <f t="shared" si="12"/>
        <v>1552.5786407766989</v>
      </c>
    </row>
    <row r="63" spans="1:8" s="329" customFormat="1" ht="12.75">
      <c r="A63" s="155">
        <v>38443</v>
      </c>
      <c r="B63" s="210">
        <v>38468</v>
      </c>
      <c r="C63" s="278">
        <v>177003</v>
      </c>
      <c r="D63" s="197">
        <f t="shared" si="9"/>
        <v>6533</v>
      </c>
      <c r="E63" s="411">
        <f t="shared" si="10"/>
        <v>653.3</v>
      </c>
      <c r="F63" s="276">
        <v>6.504854368932038</v>
      </c>
      <c r="G63" s="412">
        <f t="shared" si="11"/>
        <v>4249.6213592233</v>
      </c>
      <c r="H63" s="250">
        <f t="shared" si="12"/>
        <v>2549.7728155339796</v>
      </c>
    </row>
    <row r="64" spans="1:10" s="329" customFormat="1" ht="12.75">
      <c r="A64" s="155">
        <v>38473</v>
      </c>
      <c r="B64" s="210">
        <v>38498</v>
      </c>
      <c r="C64" s="278">
        <v>182089</v>
      </c>
      <c r="D64" s="197">
        <f t="shared" si="9"/>
        <v>5086</v>
      </c>
      <c r="E64" s="411">
        <f t="shared" si="10"/>
        <v>508.6</v>
      </c>
      <c r="F64" s="276">
        <v>6.504854368932038</v>
      </c>
      <c r="G64" s="412">
        <f t="shared" si="11"/>
        <v>3308.3689320388344</v>
      </c>
      <c r="H64" s="250">
        <f t="shared" si="12"/>
        <v>1985.0213592233006</v>
      </c>
      <c r="I64" s="188" t="s">
        <v>37</v>
      </c>
      <c r="J64" s="147" t="s">
        <v>8</v>
      </c>
    </row>
    <row r="65" spans="1:10" s="329" customFormat="1" ht="13.5" thickBot="1">
      <c r="A65" s="326">
        <v>38504</v>
      </c>
      <c r="B65" s="173">
        <v>38530</v>
      </c>
      <c r="C65" s="174">
        <v>186302</v>
      </c>
      <c r="D65" s="279">
        <f t="shared" si="9"/>
        <v>4213</v>
      </c>
      <c r="E65" s="413">
        <f t="shared" si="10"/>
        <v>421.3</v>
      </c>
      <c r="F65" s="277">
        <v>6.504854368932038</v>
      </c>
      <c r="G65" s="414">
        <f t="shared" si="11"/>
        <v>2740.4951456310678</v>
      </c>
      <c r="H65" s="203">
        <f t="shared" si="12"/>
        <v>1644.2970873786405</v>
      </c>
      <c r="I65" s="450">
        <f>SUM(E54:E65)</f>
        <v>4845.1</v>
      </c>
      <c r="J65" s="449">
        <f>SUM(H54:H65)</f>
        <v>18910.001941747567</v>
      </c>
    </row>
    <row r="66" spans="1:9" s="147" customFormat="1" ht="12.75">
      <c r="A66" s="149">
        <v>38534</v>
      </c>
      <c r="B66" s="113">
        <v>38561</v>
      </c>
      <c r="C66" s="192">
        <v>189873</v>
      </c>
      <c r="D66" s="192">
        <f t="shared" si="9"/>
        <v>3571</v>
      </c>
      <c r="E66" s="193">
        <f>IF(D66="","",D66/10)</f>
        <v>357.1</v>
      </c>
      <c r="F66" s="275">
        <v>6.848543689320389</v>
      </c>
      <c r="G66" s="408">
        <f>E66*F66</f>
        <v>2445.614951456311</v>
      </c>
      <c r="H66" s="195">
        <f>G66*0.6</f>
        <v>1467.3689708737863</v>
      </c>
      <c r="I66" s="534">
        <f>(I65-I53)/I53</f>
        <v>0.705660775892417</v>
      </c>
    </row>
    <row r="67" spans="1:8" s="147" customFormat="1" ht="12.75">
      <c r="A67" s="196">
        <v>38565</v>
      </c>
      <c r="B67" s="168">
        <v>38593</v>
      </c>
      <c r="C67" s="197">
        <v>193034</v>
      </c>
      <c r="D67" s="197">
        <f t="shared" si="9"/>
        <v>3161</v>
      </c>
      <c r="E67" s="198">
        <f aca="true" t="shared" si="13" ref="E67:E106">IF(D67="","",D67/10)</f>
        <v>316.1</v>
      </c>
      <c r="F67" s="276">
        <v>6.848543689320389</v>
      </c>
      <c r="G67" s="410">
        <f>E67*F67</f>
        <v>2164.824660194175</v>
      </c>
      <c r="H67" s="199">
        <f t="shared" si="12"/>
        <v>1298.894796116505</v>
      </c>
    </row>
    <row r="68" spans="1:8" s="147" customFormat="1" ht="12.75">
      <c r="A68" s="196">
        <v>38596</v>
      </c>
      <c r="B68" s="168">
        <v>38623</v>
      </c>
      <c r="C68" s="197">
        <v>196322</v>
      </c>
      <c r="D68" s="197">
        <f t="shared" si="9"/>
        <v>3288</v>
      </c>
      <c r="E68" s="198">
        <f t="shared" si="13"/>
        <v>328.8</v>
      </c>
      <c r="F68" s="276">
        <v>6.848543689320389</v>
      </c>
      <c r="G68" s="410">
        <f>E68*F68</f>
        <v>2251.8011650485437</v>
      </c>
      <c r="H68" s="199">
        <f t="shared" si="12"/>
        <v>1351.0806990291262</v>
      </c>
    </row>
    <row r="69" spans="1:8" s="147" customFormat="1" ht="12.75">
      <c r="A69" s="360">
        <v>38626</v>
      </c>
      <c r="B69" s="247">
        <v>38652</v>
      </c>
      <c r="C69" s="197">
        <v>200586</v>
      </c>
      <c r="D69" s="197">
        <f t="shared" si="9"/>
        <v>4264</v>
      </c>
      <c r="E69" s="198">
        <f t="shared" si="13"/>
        <v>426.4</v>
      </c>
      <c r="F69" s="276">
        <v>6.848543689320389</v>
      </c>
      <c r="G69" s="410">
        <f>IF(E69="","",E69*F69)</f>
        <v>2920.2190291262136</v>
      </c>
      <c r="H69" s="199">
        <f>IF(G69="","",G69*0.6)</f>
        <v>1752.131417475728</v>
      </c>
    </row>
    <row r="70" spans="1:8" s="147" customFormat="1" ht="12.75">
      <c r="A70" s="360">
        <v>38657</v>
      </c>
      <c r="B70" s="247">
        <v>38679</v>
      </c>
      <c r="C70" s="197">
        <v>204627</v>
      </c>
      <c r="D70" s="197">
        <f t="shared" si="9"/>
        <v>4041</v>
      </c>
      <c r="E70" s="198">
        <f t="shared" si="13"/>
        <v>404.1</v>
      </c>
      <c r="F70" s="276">
        <v>6.848543689320389</v>
      </c>
      <c r="G70" s="410">
        <f aca="true" t="shared" si="14" ref="G70:G77">IF(E70="","",E70*F70)</f>
        <v>2767.496504854369</v>
      </c>
      <c r="H70" s="199">
        <f aca="true" t="shared" si="15" ref="H70:H77">IF(G70="","",G70*0.6)</f>
        <v>1660.4979029126214</v>
      </c>
    </row>
    <row r="71" spans="1:8" s="147" customFormat="1" ht="12.75">
      <c r="A71" s="360">
        <v>38687</v>
      </c>
      <c r="B71" s="247">
        <v>38701</v>
      </c>
      <c r="C71" s="197">
        <v>207829</v>
      </c>
      <c r="D71" s="197">
        <f t="shared" si="9"/>
        <v>3202</v>
      </c>
      <c r="E71" s="198">
        <f t="shared" si="13"/>
        <v>320.2</v>
      </c>
      <c r="F71" s="276">
        <v>6.848543689320389</v>
      </c>
      <c r="G71" s="410">
        <f t="shared" si="14"/>
        <v>2192.9036893203884</v>
      </c>
      <c r="H71" s="199">
        <f t="shared" si="15"/>
        <v>1315.742213592233</v>
      </c>
    </row>
    <row r="72" spans="1:8" s="147" customFormat="1" ht="12.75">
      <c r="A72" s="360">
        <v>38718</v>
      </c>
      <c r="B72" s="247">
        <v>38736</v>
      </c>
      <c r="C72" s="197">
        <v>212684</v>
      </c>
      <c r="D72" s="197">
        <f t="shared" si="9"/>
        <v>4855</v>
      </c>
      <c r="E72" s="198">
        <f t="shared" si="13"/>
        <v>485.5</v>
      </c>
      <c r="F72" s="276">
        <v>6.848543689320389</v>
      </c>
      <c r="G72" s="410">
        <f t="shared" si="14"/>
        <v>3324.9679611650486</v>
      </c>
      <c r="H72" s="199">
        <f t="shared" si="15"/>
        <v>1994.980776699029</v>
      </c>
    </row>
    <row r="73" spans="1:8" s="147" customFormat="1" ht="12.75">
      <c r="A73" s="360">
        <v>38749</v>
      </c>
      <c r="B73" s="247">
        <v>38764</v>
      </c>
      <c r="C73" s="197">
        <v>216871</v>
      </c>
      <c r="D73" s="197">
        <f t="shared" si="9"/>
        <v>4187</v>
      </c>
      <c r="E73" s="198">
        <f t="shared" si="13"/>
        <v>418.7</v>
      </c>
      <c r="F73" s="276">
        <v>6.848543689320389</v>
      </c>
      <c r="G73" s="410">
        <f t="shared" si="14"/>
        <v>2867.4852427184464</v>
      </c>
      <c r="H73" s="199">
        <f t="shared" si="15"/>
        <v>1720.4911456310679</v>
      </c>
    </row>
    <row r="74" spans="1:8" s="147" customFormat="1" ht="12.75">
      <c r="A74" s="360">
        <v>38777</v>
      </c>
      <c r="B74" s="247">
        <v>38791</v>
      </c>
      <c r="C74" s="197">
        <v>221212</v>
      </c>
      <c r="D74" s="197">
        <f t="shared" si="9"/>
        <v>4341</v>
      </c>
      <c r="E74" s="198">
        <f t="shared" si="13"/>
        <v>434.1</v>
      </c>
      <c r="F74" s="276">
        <v>6.848543689320389</v>
      </c>
      <c r="G74" s="410">
        <f t="shared" si="14"/>
        <v>2972.952815533981</v>
      </c>
      <c r="H74" s="199">
        <f t="shared" si="15"/>
        <v>1783.7716893203885</v>
      </c>
    </row>
    <row r="75" spans="1:8" s="147" customFormat="1" ht="12.75">
      <c r="A75" s="360">
        <v>38808</v>
      </c>
      <c r="B75" s="247">
        <v>38824</v>
      </c>
      <c r="C75" s="197">
        <v>226243</v>
      </c>
      <c r="D75" s="197">
        <f t="shared" si="9"/>
        <v>5031</v>
      </c>
      <c r="E75" s="198">
        <f t="shared" si="13"/>
        <v>503.1</v>
      </c>
      <c r="F75" s="276">
        <v>6.848543689320389</v>
      </c>
      <c r="G75" s="412">
        <f t="shared" si="14"/>
        <v>3445.5023300970875</v>
      </c>
      <c r="H75" s="250">
        <f t="shared" si="15"/>
        <v>2067.3013980582523</v>
      </c>
    </row>
    <row r="76" spans="1:10" s="147" customFormat="1" ht="12.75">
      <c r="A76" s="360">
        <v>38838</v>
      </c>
      <c r="B76" s="247">
        <v>38856</v>
      </c>
      <c r="C76" s="197">
        <v>231693</v>
      </c>
      <c r="D76" s="197">
        <f t="shared" si="9"/>
        <v>5450</v>
      </c>
      <c r="E76" s="198">
        <f t="shared" si="13"/>
        <v>545</v>
      </c>
      <c r="F76" s="276">
        <v>6.848543689320389</v>
      </c>
      <c r="G76" s="412">
        <f t="shared" si="14"/>
        <v>3732.4563106796118</v>
      </c>
      <c r="H76" s="250">
        <f t="shared" si="15"/>
        <v>2239.473786407767</v>
      </c>
      <c r="I76" s="188" t="s">
        <v>37</v>
      </c>
      <c r="J76" s="147" t="s">
        <v>8</v>
      </c>
    </row>
    <row r="77" spans="1:10" s="147" customFormat="1" ht="13.5" thickBot="1">
      <c r="A77" s="152">
        <v>38869</v>
      </c>
      <c r="B77" s="445">
        <v>38882</v>
      </c>
      <c r="C77" s="201">
        <v>235380</v>
      </c>
      <c r="D77" s="201">
        <f t="shared" si="9"/>
        <v>3687</v>
      </c>
      <c r="E77" s="202">
        <f t="shared" si="13"/>
        <v>368.7</v>
      </c>
      <c r="F77" s="277">
        <v>6.848543689320389</v>
      </c>
      <c r="G77" s="414">
        <f t="shared" si="14"/>
        <v>2525.058058252427</v>
      </c>
      <c r="H77" s="203">
        <f t="shared" si="15"/>
        <v>1515.0348349514563</v>
      </c>
      <c r="I77" s="450">
        <f>SUM(E66:E77)</f>
        <v>4907.799999999999</v>
      </c>
      <c r="J77" s="449">
        <f>SUM(H66:H77)</f>
        <v>20166.769631067964</v>
      </c>
    </row>
    <row r="78" spans="1:10" s="147" customFormat="1" ht="12.75">
      <c r="A78" s="149">
        <v>38899</v>
      </c>
      <c r="B78" s="113">
        <v>38915</v>
      </c>
      <c r="C78" s="192">
        <v>239609</v>
      </c>
      <c r="D78" s="192">
        <f t="shared" si="9"/>
        <v>4229</v>
      </c>
      <c r="E78" s="193">
        <f>IF(D78="","",D78/10)</f>
        <v>422.9</v>
      </c>
      <c r="F78" s="275">
        <v>10.019417475728154</v>
      </c>
      <c r="G78" s="408">
        <f>E78*F78</f>
        <v>4237.211650485437</v>
      </c>
      <c r="H78" s="195">
        <f>G78*0.6</f>
        <v>2542.326990291262</v>
      </c>
      <c r="I78" s="534">
        <f>(I77-I65)/I65</f>
        <v>0.01294090937235535</v>
      </c>
      <c r="J78" s="17"/>
    </row>
    <row r="79" spans="1:9" s="147" customFormat="1" ht="12.75">
      <c r="A79" s="196">
        <v>38930</v>
      </c>
      <c r="B79" s="168">
        <v>38944</v>
      </c>
      <c r="C79" s="197">
        <v>242929</v>
      </c>
      <c r="D79" s="197">
        <f t="shared" si="9"/>
        <v>3320</v>
      </c>
      <c r="E79" s="198">
        <f t="shared" si="13"/>
        <v>332</v>
      </c>
      <c r="F79" s="276">
        <v>10.019417475728154</v>
      </c>
      <c r="G79" s="410">
        <f>E79*F79</f>
        <v>3326.4466019417473</v>
      </c>
      <c r="H79" s="199">
        <f>G79*0.6</f>
        <v>1995.8679611650482</v>
      </c>
      <c r="I79" s="450"/>
    </row>
    <row r="80" spans="1:10" s="147" customFormat="1" ht="12.75">
      <c r="A80" s="196">
        <v>38961</v>
      </c>
      <c r="B80" s="168">
        <v>38975</v>
      </c>
      <c r="C80" s="197">
        <v>245538</v>
      </c>
      <c r="D80" s="197">
        <f t="shared" si="9"/>
        <v>2609</v>
      </c>
      <c r="E80" s="198">
        <f t="shared" si="13"/>
        <v>260.9</v>
      </c>
      <c r="F80" s="276">
        <v>10.019417475728154</v>
      </c>
      <c r="G80" s="410">
        <f>E80*F80</f>
        <v>2614.066019417475</v>
      </c>
      <c r="H80" s="199">
        <f>G80*0.6</f>
        <v>1568.4396116504852</v>
      </c>
      <c r="I80" s="450"/>
      <c r="J80" s="97"/>
    </row>
    <row r="81" spans="1:9" s="147" customFormat="1" ht="12.75">
      <c r="A81" s="360">
        <v>38991</v>
      </c>
      <c r="B81" s="168">
        <v>39003</v>
      </c>
      <c r="C81" s="197">
        <v>248769</v>
      </c>
      <c r="D81" s="197">
        <f t="shared" si="9"/>
        <v>3231</v>
      </c>
      <c r="E81" s="198">
        <f t="shared" si="13"/>
        <v>323.1</v>
      </c>
      <c r="F81" s="276">
        <v>10.019417475728154</v>
      </c>
      <c r="G81" s="410">
        <f>IF(E81="","",E81*F81)</f>
        <v>3237.273786407767</v>
      </c>
      <c r="H81" s="199">
        <f>IF(G81="","",G81*0.6)</f>
        <v>1942.3642718446602</v>
      </c>
      <c r="I81" s="450"/>
    </row>
    <row r="82" spans="1:9" s="147" customFormat="1" ht="12.75">
      <c r="A82" s="360">
        <v>39022</v>
      </c>
      <c r="B82" s="168">
        <v>39036</v>
      </c>
      <c r="C82" s="197">
        <v>253555</v>
      </c>
      <c r="D82" s="197">
        <f t="shared" si="9"/>
        <v>4786</v>
      </c>
      <c r="E82" s="198">
        <f t="shared" si="13"/>
        <v>478.6</v>
      </c>
      <c r="F82" s="276">
        <v>10.019417475728154</v>
      </c>
      <c r="G82" s="410">
        <f aca="true" t="shared" si="16" ref="G82:G89">IF(E82="","",E82*F82)</f>
        <v>4795.293203883495</v>
      </c>
      <c r="H82" s="199">
        <f aca="true" t="shared" si="17" ref="H82:H89">IF(G82="","",G82*0.6)</f>
        <v>2877.175922330097</v>
      </c>
      <c r="I82" s="450"/>
    </row>
    <row r="83" spans="1:9" s="147" customFormat="1" ht="12.75">
      <c r="A83" s="360">
        <v>39052</v>
      </c>
      <c r="B83" s="168">
        <v>39065</v>
      </c>
      <c r="C83" s="197">
        <v>257539</v>
      </c>
      <c r="D83" s="197">
        <f t="shared" si="9"/>
        <v>3984</v>
      </c>
      <c r="E83" s="198">
        <f t="shared" si="13"/>
        <v>398.4</v>
      </c>
      <c r="F83" s="276">
        <v>10.019417475728154</v>
      </c>
      <c r="G83" s="410">
        <f t="shared" si="16"/>
        <v>3991.7359223300964</v>
      </c>
      <c r="H83" s="199">
        <f t="shared" si="17"/>
        <v>2395.0415533980577</v>
      </c>
      <c r="I83" s="450"/>
    </row>
    <row r="84" spans="1:9" s="147" customFormat="1" ht="12.75">
      <c r="A84" s="360">
        <v>39083</v>
      </c>
      <c r="B84" s="247">
        <v>39097</v>
      </c>
      <c r="C84" s="197">
        <v>261759</v>
      </c>
      <c r="D84" s="197">
        <f t="shared" si="9"/>
        <v>4220</v>
      </c>
      <c r="E84" s="198">
        <f t="shared" si="13"/>
        <v>422</v>
      </c>
      <c r="F84" s="276">
        <v>10.019417475728154</v>
      </c>
      <c r="G84" s="410">
        <f t="shared" si="16"/>
        <v>4228.194174757281</v>
      </c>
      <c r="H84" s="199">
        <f t="shared" si="17"/>
        <v>2536.9165048543687</v>
      </c>
      <c r="I84" s="450"/>
    </row>
    <row r="85" spans="1:9" s="147" customFormat="1" ht="12.75">
      <c r="A85" s="360">
        <v>39114</v>
      </c>
      <c r="B85" s="247">
        <v>39128</v>
      </c>
      <c r="C85" s="197">
        <v>267980</v>
      </c>
      <c r="D85" s="197">
        <f t="shared" si="9"/>
        <v>6221</v>
      </c>
      <c r="E85" s="198">
        <f t="shared" si="13"/>
        <v>622.1</v>
      </c>
      <c r="F85" s="276">
        <v>10.019417475728154</v>
      </c>
      <c r="G85" s="410">
        <f t="shared" si="16"/>
        <v>6233.079611650485</v>
      </c>
      <c r="H85" s="199">
        <f t="shared" si="17"/>
        <v>3739.847766990291</v>
      </c>
      <c r="I85" s="451"/>
    </row>
    <row r="86" spans="1:9" s="147" customFormat="1" ht="12.75">
      <c r="A86" s="360">
        <v>39142</v>
      </c>
      <c r="B86" s="247">
        <v>39156</v>
      </c>
      <c r="C86" s="197">
        <v>272996</v>
      </c>
      <c r="D86" s="197">
        <f aca="true" t="shared" si="18" ref="D86:D92">C86-C85</f>
        <v>5016</v>
      </c>
      <c r="E86" s="198">
        <f t="shared" si="13"/>
        <v>501.6</v>
      </c>
      <c r="F86" s="276">
        <v>10.019417475728154</v>
      </c>
      <c r="G86" s="410">
        <f t="shared" si="16"/>
        <v>5025.739805825243</v>
      </c>
      <c r="H86" s="199">
        <f t="shared" si="17"/>
        <v>3015.4438834951457</v>
      </c>
      <c r="I86" s="451"/>
    </row>
    <row r="87" spans="1:9" s="147" customFormat="1" ht="12.75">
      <c r="A87" s="360">
        <v>39173</v>
      </c>
      <c r="B87" s="168">
        <v>39188</v>
      </c>
      <c r="C87" s="197">
        <v>278570</v>
      </c>
      <c r="D87" s="197">
        <f t="shared" si="18"/>
        <v>5574</v>
      </c>
      <c r="E87" s="198">
        <f t="shared" si="13"/>
        <v>557.4</v>
      </c>
      <c r="F87" s="276">
        <v>10.019417475728154</v>
      </c>
      <c r="G87" s="412">
        <f t="shared" si="16"/>
        <v>5584.823300970873</v>
      </c>
      <c r="H87" s="250">
        <f t="shared" si="17"/>
        <v>3350.8939805825235</v>
      </c>
      <c r="I87" s="451"/>
    </row>
    <row r="88" spans="1:10" s="147" customFormat="1" ht="12.75">
      <c r="A88" s="360">
        <v>39203</v>
      </c>
      <c r="B88" s="168">
        <v>39219</v>
      </c>
      <c r="C88" s="197">
        <v>283519</v>
      </c>
      <c r="D88" s="197">
        <f t="shared" si="18"/>
        <v>4949</v>
      </c>
      <c r="E88" s="198">
        <f t="shared" si="13"/>
        <v>494.9</v>
      </c>
      <c r="F88" s="276">
        <v>10.019417475728154</v>
      </c>
      <c r="G88" s="412">
        <f t="shared" si="16"/>
        <v>4958.609708737863</v>
      </c>
      <c r="H88" s="250">
        <f t="shared" si="17"/>
        <v>2975.165825242718</v>
      </c>
      <c r="I88" s="188" t="s">
        <v>37</v>
      </c>
      <c r="J88" s="147" t="s">
        <v>8</v>
      </c>
    </row>
    <row r="89" spans="1:10" s="147" customFormat="1" ht="13.5" thickBot="1">
      <c r="A89" s="152">
        <v>39234</v>
      </c>
      <c r="B89" s="173">
        <v>39246</v>
      </c>
      <c r="C89" s="201">
        <v>287278</v>
      </c>
      <c r="D89" s="201">
        <f t="shared" si="18"/>
        <v>3759</v>
      </c>
      <c r="E89" s="202">
        <f t="shared" si="13"/>
        <v>375.9</v>
      </c>
      <c r="F89" s="277">
        <v>10.019417475728154</v>
      </c>
      <c r="G89" s="414">
        <f t="shared" si="16"/>
        <v>3766.299029126213</v>
      </c>
      <c r="H89" s="203">
        <f t="shared" si="17"/>
        <v>2259.7794174757278</v>
      </c>
      <c r="I89" s="450">
        <f>SUM(E78:E89)</f>
        <v>5189.799999999999</v>
      </c>
      <c r="J89" s="449">
        <f>SUM(H78:H89)</f>
        <v>31199.26368932039</v>
      </c>
    </row>
    <row r="90" spans="1:9" s="147" customFormat="1" ht="12.75">
      <c r="A90" s="149">
        <v>39264</v>
      </c>
      <c r="B90" s="191">
        <v>39280</v>
      </c>
      <c r="C90" s="192">
        <v>291715</v>
      </c>
      <c r="D90" s="192">
        <f t="shared" si="18"/>
        <v>4437</v>
      </c>
      <c r="E90" s="193">
        <f>IF(D90="","",D90/10)</f>
        <v>443.7</v>
      </c>
      <c r="F90" s="275">
        <v>11.106796116504851</v>
      </c>
      <c r="G90" s="408">
        <f>E90*F90</f>
        <v>4928.085436893202</v>
      </c>
      <c r="H90" s="195">
        <f>G90*0.6</f>
        <v>2956.8512621359214</v>
      </c>
      <c r="I90" s="534">
        <f>(I89-I77)/I77</f>
        <v>0.05745955417906191</v>
      </c>
    </row>
    <row r="91" spans="1:9" s="147" customFormat="1" ht="12.75">
      <c r="A91" s="196">
        <v>39295</v>
      </c>
      <c r="B91" s="168">
        <v>39309</v>
      </c>
      <c r="C91" s="197">
        <v>294954</v>
      </c>
      <c r="D91" s="197">
        <f t="shared" si="18"/>
        <v>3239</v>
      </c>
      <c r="E91" s="198">
        <f t="shared" si="13"/>
        <v>323.9</v>
      </c>
      <c r="F91" s="276">
        <v>11.106796116504851</v>
      </c>
      <c r="G91" s="410">
        <f>E91*F91</f>
        <v>3597.4912621359213</v>
      </c>
      <c r="H91" s="199">
        <f>G91*0.6</f>
        <v>2158.4947572815527</v>
      </c>
      <c r="I91" s="450"/>
    </row>
    <row r="92" spans="1:10" s="147" customFormat="1" ht="12.75">
      <c r="A92" s="196">
        <v>39326</v>
      </c>
      <c r="B92" s="168">
        <v>39344</v>
      </c>
      <c r="C92" s="197">
        <v>299037</v>
      </c>
      <c r="D92" s="197">
        <f t="shared" si="18"/>
        <v>4083</v>
      </c>
      <c r="E92" s="198">
        <f t="shared" si="13"/>
        <v>408.3</v>
      </c>
      <c r="F92" s="276">
        <v>11.106796116504851</v>
      </c>
      <c r="G92" s="410">
        <f>E92*F92</f>
        <v>4534.9048543689305</v>
      </c>
      <c r="H92" s="199">
        <f>G92*0.6</f>
        <v>2720.942912621358</v>
      </c>
      <c r="I92" s="450"/>
      <c r="J92" s="97"/>
    </row>
    <row r="93" spans="1:9" s="147" customFormat="1" ht="12.75">
      <c r="A93" s="360">
        <v>39356</v>
      </c>
      <c r="B93" s="168">
        <v>39370</v>
      </c>
      <c r="C93" s="197">
        <v>303006</v>
      </c>
      <c r="D93" s="197">
        <f aca="true" t="shared" si="19" ref="D93:D106">C93-C92</f>
        <v>3969</v>
      </c>
      <c r="E93" s="198">
        <f t="shared" si="13"/>
        <v>396.9</v>
      </c>
      <c r="F93" s="276">
        <v>11.106796116504851</v>
      </c>
      <c r="G93" s="410">
        <f>E93*F93</f>
        <v>4408.287378640775</v>
      </c>
      <c r="H93" s="199">
        <f>G93*0.6</f>
        <v>2644.9724271844652</v>
      </c>
      <c r="I93" s="450"/>
    </row>
    <row r="94" spans="1:9" s="147" customFormat="1" ht="12.75">
      <c r="A94" s="360">
        <v>39387</v>
      </c>
      <c r="B94" s="168">
        <v>39401</v>
      </c>
      <c r="C94" s="197">
        <v>307819</v>
      </c>
      <c r="D94" s="197">
        <f t="shared" si="19"/>
        <v>4813</v>
      </c>
      <c r="E94" s="198">
        <f t="shared" si="13"/>
        <v>481.3</v>
      </c>
      <c r="F94" s="276">
        <v>11.106796116504851</v>
      </c>
      <c r="G94" s="410">
        <f aca="true" t="shared" si="20" ref="G94:G101">IF(E94="","",E94*F94)</f>
        <v>5345.700970873785</v>
      </c>
      <c r="H94" s="199">
        <f aca="true" t="shared" si="21" ref="H94:H101">IF(G94="","",G94*0.6)</f>
        <v>3207.420582524271</v>
      </c>
      <c r="I94" s="450"/>
    </row>
    <row r="95" spans="1:9" s="147" customFormat="1" ht="12.75">
      <c r="A95" s="360">
        <v>39417</v>
      </c>
      <c r="B95" s="168">
        <v>39430</v>
      </c>
      <c r="C95" s="197">
        <v>313280</v>
      </c>
      <c r="D95" s="197">
        <f t="shared" si="19"/>
        <v>5461</v>
      </c>
      <c r="E95" s="198">
        <f t="shared" si="13"/>
        <v>546.1</v>
      </c>
      <c r="F95" s="276">
        <v>11.106796116504851</v>
      </c>
      <c r="G95" s="410">
        <f t="shared" si="20"/>
        <v>6065.421359223299</v>
      </c>
      <c r="H95" s="199">
        <f t="shared" si="21"/>
        <v>3639.252815533979</v>
      </c>
      <c r="I95" s="450"/>
    </row>
    <row r="96" spans="1:9" s="147" customFormat="1" ht="12.75">
      <c r="A96" s="360">
        <v>39448</v>
      </c>
      <c r="B96" s="247">
        <v>39461</v>
      </c>
      <c r="C96" s="197">
        <v>318394</v>
      </c>
      <c r="D96" s="197">
        <f t="shared" si="19"/>
        <v>5114</v>
      </c>
      <c r="E96" s="198">
        <f>IF(D96="","",D96/10)</f>
        <v>511.4</v>
      </c>
      <c r="F96" s="276">
        <v>11.106796116504851</v>
      </c>
      <c r="G96" s="410">
        <f t="shared" si="20"/>
        <v>5680.015533980581</v>
      </c>
      <c r="H96" s="199">
        <f t="shared" si="21"/>
        <v>3408.0093203883484</v>
      </c>
      <c r="I96" s="450"/>
    </row>
    <row r="97" spans="1:9" s="147" customFormat="1" ht="12.75">
      <c r="A97" s="360">
        <v>39479</v>
      </c>
      <c r="B97" s="168">
        <v>39492</v>
      </c>
      <c r="C97" s="197">
        <v>324736</v>
      </c>
      <c r="D97" s="197">
        <f t="shared" si="19"/>
        <v>6342</v>
      </c>
      <c r="E97" s="198">
        <f>IF(D97="","",D97/10)</f>
        <v>634.2</v>
      </c>
      <c r="F97" s="276">
        <v>11.106796116504851</v>
      </c>
      <c r="G97" s="410">
        <f>IF(E97="","",E97*F97)</f>
        <v>7043.930097087377</v>
      </c>
      <c r="H97" s="199">
        <f t="shared" si="21"/>
        <v>4226.358058252426</v>
      </c>
      <c r="I97" s="451"/>
    </row>
    <row r="98" spans="1:9" s="147" customFormat="1" ht="12.75">
      <c r="A98" s="360">
        <v>39508</v>
      </c>
      <c r="B98" s="247">
        <v>39524</v>
      </c>
      <c r="C98" s="197">
        <v>331062</v>
      </c>
      <c r="D98" s="197">
        <f t="shared" si="19"/>
        <v>6326</v>
      </c>
      <c r="E98" s="198">
        <f t="shared" si="13"/>
        <v>632.6</v>
      </c>
      <c r="F98" s="276">
        <v>11.106796116504851</v>
      </c>
      <c r="G98" s="410">
        <f t="shared" si="20"/>
        <v>7026.159223300969</v>
      </c>
      <c r="H98" s="199">
        <f t="shared" si="21"/>
        <v>4215.695533980581</v>
      </c>
      <c r="I98" s="451"/>
    </row>
    <row r="99" spans="1:9" s="147" customFormat="1" ht="12.75">
      <c r="A99" s="360">
        <v>39539</v>
      </c>
      <c r="B99" s="168">
        <v>39553</v>
      </c>
      <c r="C99" s="197">
        <v>335774</v>
      </c>
      <c r="D99" s="197">
        <f t="shared" si="19"/>
        <v>4712</v>
      </c>
      <c r="E99" s="198">
        <f t="shared" si="13"/>
        <v>471.2</v>
      </c>
      <c r="F99" s="276">
        <v>11.106796116504851</v>
      </c>
      <c r="G99" s="412">
        <f t="shared" si="20"/>
        <v>5233.522330097086</v>
      </c>
      <c r="H99" s="250">
        <f t="shared" si="21"/>
        <v>3140.1133980582513</v>
      </c>
      <c r="I99" s="451"/>
    </row>
    <row r="100" spans="1:10" s="147" customFormat="1" ht="12.75">
      <c r="A100" s="360">
        <v>39569</v>
      </c>
      <c r="B100" s="168">
        <v>39583</v>
      </c>
      <c r="C100" s="197">
        <v>340280</v>
      </c>
      <c r="D100" s="197">
        <f t="shared" si="19"/>
        <v>4506</v>
      </c>
      <c r="E100" s="198">
        <f t="shared" si="13"/>
        <v>450.6</v>
      </c>
      <c r="F100" s="276">
        <v>11.106796116504851</v>
      </c>
      <c r="G100" s="412">
        <f t="shared" si="20"/>
        <v>5004.722330097086</v>
      </c>
      <c r="H100" s="250">
        <f t="shared" si="21"/>
        <v>3002.8333980582515</v>
      </c>
      <c r="I100" s="188" t="s">
        <v>37</v>
      </c>
      <c r="J100" s="147" t="s">
        <v>8</v>
      </c>
    </row>
    <row r="101" spans="1:10" s="147" customFormat="1" ht="13.5" thickBot="1">
      <c r="A101" s="152">
        <v>39600</v>
      </c>
      <c r="B101" s="173">
        <v>39615</v>
      </c>
      <c r="C101" s="201">
        <v>344386</v>
      </c>
      <c r="D101" s="197">
        <f t="shared" si="19"/>
        <v>4106</v>
      </c>
      <c r="E101" s="202">
        <f t="shared" si="13"/>
        <v>410.6</v>
      </c>
      <c r="F101" s="276">
        <v>11.106796116504851</v>
      </c>
      <c r="G101" s="414">
        <f t="shared" si="20"/>
        <v>4560.450485436892</v>
      </c>
      <c r="H101" s="203">
        <f t="shared" si="21"/>
        <v>2736.2702912621353</v>
      </c>
      <c r="I101" s="450">
        <f>SUM(E90:E101)</f>
        <v>5710.800000000001</v>
      </c>
      <c r="J101" s="449">
        <f>SUM(H90:H101)</f>
        <v>38057.214757281545</v>
      </c>
    </row>
    <row r="102" spans="1:9" s="547" customFormat="1" ht="12.75">
      <c r="A102" s="538">
        <v>39630</v>
      </c>
      <c r="B102" s="540">
        <v>39645</v>
      </c>
      <c r="C102" s="602">
        <v>348864</v>
      </c>
      <c r="D102" s="608">
        <f t="shared" si="19"/>
        <v>4478</v>
      </c>
      <c r="E102" s="640">
        <f>IF(D102="","",D102/10)</f>
        <v>447.8</v>
      </c>
      <c r="F102" s="641">
        <v>10.81</v>
      </c>
      <c r="G102" s="642">
        <f>E102*F102</f>
        <v>4840.718000000001</v>
      </c>
      <c r="H102" s="543">
        <f>G102*0.6</f>
        <v>2904.4308000000005</v>
      </c>
      <c r="I102" s="534">
        <f>(I101-I89)/I89</f>
        <v>0.10038922501830551</v>
      </c>
    </row>
    <row r="103" spans="1:9" s="547" customFormat="1" ht="12.75">
      <c r="A103" s="611">
        <v>39661</v>
      </c>
      <c r="B103" s="551">
        <v>39678</v>
      </c>
      <c r="C103" s="602">
        <v>352296</v>
      </c>
      <c r="D103" s="602">
        <f t="shared" si="19"/>
        <v>3432</v>
      </c>
      <c r="E103" s="643">
        <f t="shared" si="13"/>
        <v>343.2</v>
      </c>
      <c r="F103" s="644">
        <v>10.81</v>
      </c>
      <c r="G103" s="613">
        <f>E103*F103</f>
        <v>3709.992</v>
      </c>
      <c r="H103" s="554">
        <f>G103*0.6</f>
        <v>2225.9952</v>
      </c>
      <c r="I103" s="610"/>
    </row>
    <row r="104" spans="1:10" s="547" customFormat="1" ht="12.75">
      <c r="A104" s="611">
        <v>39692</v>
      </c>
      <c r="B104" s="551">
        <v>39706</v>
      </c>
      <c r="C104" s="602">
        <v>355511</v>
      </c>
      <c r="D104" s="602">
        <f t="shared" si="19"/>
        <v>3215</v>
      </c>
      <c r="E104" s="643">
        <f t="shared" si="13"/>
        <v>321.5</v>
      </c>
      <c r="F104" s="644">
        <v>10.81</v>
      </c>
      <c r="G104" s="613">
        <f>E104*F104</f>
        <v>3475.415</v>
      </c>
      <c r="H104" s="554">
        <f>G104*0.6</f>
        <v>2085.249</v>
      </c>
      <c r="I104" s="610"/>
      <c r="J104" s="548"/>
    </row>
    <row r="105" spans="1:9" s="547" customFormat="1" ht="12.75">
      <c r="A105" s="549">
        <v>39722</v>
      </c>
      <c r="B105" s="551">
        <v>39736</v>
      </c>
      <c r="C105" s="602">
        <v>360453</v>
      </c>
      <c r="D105" s="602">
        <f t="shared" si="19"/>
        <v>4942</v>
      </c>
      <c r="E105" s="643">
        <f t="shared" si="13"/>
        <v>494.2</v>
      </c>
      <c r="F105" s="644">
        <v>10.81</v>
      </c>
      <c r="G105" s="613">
        <f>E105*F105</f>
        <v>5342.302</v>
      </c>
      <c r="H105" s="554">
        <f>G105*0.6</f>
        <v>3205.3812</v>
      </c>
      <c r="I105" s="610"/>
    </row>
    <row r="106" spans="1:9" s="547" customFormat="1" ht="12.75">
      <c r="A106" s="549">
        <v>39753</v>
      </c>
      <c r="B106" s="551">
        <v>39770</v>
      </c>
      <c r="C106" s="602">
        <v>366693</v>
      </c>
      <c r="D106" s="602">
        <f t="shared" si="19"/>
        <v>6240</v>
      </c>
      <c r="E106" s="643">
        <f t="shared" si="13"/>
        <v>624</v>
      </c>
      <c r="F106" s="644">
        <v>10.81</v>
      </c>
      <c r="G106" s="613">
        <f>E106*F106</f>
        <v>6745.4400000000005</v>
      </c>
      <c r="H106" s="554">
        <f>G106*0.6</f>
        <v>4047.264</v>
      </c>
      <c r="I106" s="610"/>
    </row>
    <row r="107" spans="1:9" s="547" customFormat="1" ht="12.75">
      <c r="A107" s="549">
        <v>39783</v>
      </c>
      <c r="B107" s="551">
        <v>39797</v>
      </c>
      <c r="C107" s="602">
        <v>372226</v>
      </c>
      <c r="D107" s="602">
        <f aca="true" t="shared" si="22" ref="D107:D116">C107-C106</f>
        <v>5533</v>
      </c>
      <c r="E107" s="643">
        <f>IF(D107="","",D107/10)</f>
        <v>553.3</v>
      </c>
      <c r="F107" s="644">
        <v>10.81</v>
      </c>
      <c r="G107" s="613">
        <f aca="true" t="shared" si="23" ref="G107:G113">IF(E107="","",E107*F107)</f>
        <v>5981.173</v>
      </c>
      <c r="H107" s="554">
        <f aca="true" t="shared" si="24" ref="H107:H113">IF(G107="","",G107*0.6)</f>
        <v>3588.7038</v>
      </c>
      <c r="I107" s="610"/>
    </row>
    <row r="108" spans="1:9" s="547" customFormat="1" ht="12.75">
      <c r="A108" s="549">
        <v>39814</v>
      </c>
      <c r="B108" s="645">
        <v>39829</v>
      </c>
      <c r="C108" s="602">
        <v>378815</v>
      </c>
      <c r="D108" s="602">
        <f t="shared" si="22"/>
        <v>6589</v>
      </c>
      <c r="E108" s="643">
        <f aca="true" t="shared" si="25" ref="E108:E113">IF(D108="","",D108/10)</f>
        <v>658.9</v>
      </c>
      <c r="F108" s="644">
        <v>10.81</v>
      </c>
      <c r="G108" s="613">
        <f t="shared" si="23"/>
        <v>7122.709</v>
      </c>
      <c r="H108" s="554">
        <f t="shared" si="24"/>
        <v>4273.6254</v>
      </c>
      <c r="I108" s="610"/>
    </row>
    <row r="109" spans="1:9" s="547" customFormat="1" ht="12.75">
      <c r="A109" s="549">
        <v>39845</v>
      </c>
      <c r="B109" s="551">
        <v>39861</v>
      </c>
      <c r="C109" s="602">
        <v>385374</v>
      </c>
      <c r="D109" s="602">
        <f t="shared" si="22"/>
        <v>6559</v>
      </c>
      <c r="E109" s="643">
        <f t="shared" si="25"/>
        <v>655.9</v>
      </c>
      <c r="F109" s="644">
        <v>10.81</v>
      </c>
      <c r="G109" s="613">
        <f t="shared" si="23"/>
        <v>7090.279</v>
      </c>
      <c r="H109" s="554">
        <f t="shared" si="24"/>
        <v>4254.1674</v>
      </c>
      <c r="I109" s="614"/>
    </row>
    <row r="110" spans="1:9" s="547" customFormat="1" ht="12.75">
      <c r="A110" s="549">
        <v>39873</v>
      </c>
      <c r="B110" s="645">
        <v>39889</v>
      </c>
      <c r="C110" s="602">
        <v>391549</v>
      </c>
      <c r="D110" s="602">
        <f t="shared" si="22"/>
        <v>6175</v>
      </c>
      <c r="E110" s="643">
        <f t="shared" si="25"/>
        <v>617.5</v>
      </c>
      <c r="F110" s="644">
        <v>10.81</v>
      </c>
      <c r="G110" s="613">
        <f t="shared" si="23"/>
        <v>6675.175</v>
      </c>
      <c r="H110" s="554">
        <f t="shared" si="24"/>
        <v>4005.105</v>
      </c>
      <c r="I110" s="614"/>
    </row>
    <row r="111" spans="1:9" s="547" customFormat="1" ht="12.75">
      <c r="A111" s="549">
        <v>39904</v>
      </c>
      <c r="B111" s="551">
        <v>39923</v>
      </c>
      <c r="C111" s="602">
        <v>399563</v>
      </c>
      <c r="D111" s="602">
        <f t="shared" si="22"/>
        <v>8014</v>
      </c>
      <c r="E111" s="643">
        <f t="shared" si="25"/>
        <v>801.4</v>
      </c>
      <c r="F111" s="644">
        <v>10.81</v>
      </c>
      <c r="G111" s="615">
        <f t="shared" si="23"/>
        <v>8663.134</v>
      </c>
      <c r="H111" s="616">
        <f t="shared" si="24"/>
        <v>5197.8804</v>
      </c>
      <c r="I111" s="614"/>
    </row>
    <row r="112" spans="1:10" s="547" customFormat="1" ht="12.75">
      <c r="A112" s="549">
        <v>39934</v>
      </c>
      <c r="B112" s="551">
        <v>39948</v>
      </c>
      <c r="C112" s="602">
        <v>405471</v>
      </c>
      <c r="D112" s="602">
        <f t="shared" si="22"/>
        <v>5908</v>
      </c>
      <c r="E112" s="643">
        <f t="shared" si="25"/>
        <v>590.8</v>
      </c>
      <c r="F112" s="644">
        <v>10.81</v>
      </c>
      <c r="G112" s="615">
        <f t="shared" si="23"/>
        <v>6386.548</v>
      </c>
      <c r="H112" s="616">
        <f t="shared" si="24"/>
        <v>3831.9287999999997</v>
      </c>
      <c r="I112" s="618" t="s">
        <v>37</v>
      </c>
      <c r="J112" s="547" t="s">
        <v>8</v>
      </c>
    </row>
    <row r="113" spans="1:10" s="547" customFormat="1" ht="13.5" thickBot="1">
      <c r="A113" s="558">
        <v>39965</v>
      </c>
      <c r="B113" s="560">
        <v>39979</v>
      </c>
      <c r="C113" s="602">
        <v>410503</v>
      </c>
      <c r="D113" s="602">
        <f t="shared" si="22"/>
        <v>5032</v>
      </c>
      <c r="E113" s="643">
        <f t="shared" si="25"/>
        <v>503.2</v>
      </c>
      <c r="F113" s="646">
        <v>10.81</v>
      </c>
      <c r="G113" s="647">
        <f t="shared" si="23"/>
        <v>5439.592000000001</v>
      </c>
      <c r="H113" s="561">
        <f t="shared" si="24"/>
        <v>3263.7552</v>
      </c>
      <c r="I113" s="610">
        <f>SUM(E102:E113)</f>
        <v>6611.7</v>
      </c>
      <c r="J113" s="625">
        <f>SUM(H102:H113)</f>
        <v>42883.4862</v>
      </c>
    </row>
    <row r="114" spans="1:9" s="147" customFormat="1" ht="12.75">
      <c r="A114" s="654">
        <v>39995</v>
      </c>
      <c r="B114" s="630">
        <v>40011</v>
      </c>
      <c r="C114" s="631">
        <v>414038</v>
      </c>
      <c r="D114" s="532">
        <f t="shared" si="22"/>
        <v>3535</v>
      </c>
      <c r="E114" s="404">
        <f aca="true" t="shared" si="26" ref="E114:E119">IF(D114="","",D114/10)</f>
        <v>353.5</v>
      </c>
      <c r="F114" s="368">
        <f>Rates!$E$21</f>
        <v>10.36</v>
      </c>
      <c r="G114" s="385">
        <f>E114*F114</f>
        <v>3662.2599999999998</v>
      </c>
      <c r="H114" s="252">
        <f>G114*0.6</f>
        <v>2197.3559999999998</v>
      </c>
      <c r="I114" s="534">
        <f>(I113-I101)/I101</f>
        <v>0.1577537297751626</v>
      </c>
    </row>
    <row r="115" spans="1:9" s="147" customFormat="1" ht="12.75">
      <c r="A115" s="656">
        <v>40026</v>
      </c>
      <c r="B115" s="131">
        <v>40042</v>
      </c>
      <c r="C115" s="632">
        <v>417582</v>
      </c>
      <c r="D115" s="533">
        <f t="shared" si="22"/>
        <v>3544</v>
      </c>
      <c r="E115" s="480">
        <f t="shared" si="26"/>
        <v>354.4</v>
      </c>
      <c r="F115" s="481">
        <f>Rates!$E$21</f>
        <v>10.36</v>
      </c>
      <c r="G115" s="482">
        <f>E115*F115</f>
        <v>3671.5839999999994</v>
      </c>
      <c r="H115" s="478">
        <f>G115*0.6</f>
        <v>2202.9503999999997</v>
      </c>
      <c r="I115" s="450"/>
    </row>
    <row r="116" spans="1:10" s="147" customFormat="1" ht="12.75">
      <c r="A116" s="656">
        <v>40057</v>
      </c>
      <c r="B116" s="131">
        <v>40071</v>
      </c>
      <c r="C116" s="632">
        <v>420897</v>
      </c>
      <c r="D116" s="533">
        <f t="shared" si="22"/>
        <v>3315</v>
      </c>
      <c r="E116" s="480">
        <f t="shared" si="26"/>
        <v>331.5</v>
      </c>
      <c r="F116" s="481">
        <f>Rates!$E$21</f>
        <v>10.36</v>
      </c>
      <c r="G116" s="482">
        <f>E116*F116</f>
        <v>3434.3399999999997</v>
      </c>
      <c r="H116" s="478">
        <f>G116*0.6</f>
        <v>2060.604</v>
      </c>
      <c r="I116" s="450"/>
      <c r="J116" s="97"/>
    </row>
    <row r="117" spans="1:9" s="670" customFormat="1" ht="12.75">
      <c r="A117" s="655">
        <v>40087</v>
      </c>
      <c r="B117" s="131">
        <v>40102</v>
      </c>
      <c r="C117" s="668">
        <v>425127</v>
      </c>
      <c r="D117" s="533">
        <f aca="true" t="shared" si="27" ref="D117:D125">C117-C116</f>
        <v>4230</v>
      </c>
      <c r="E117" s="480">
        <f t="shared" si="26"/>
        <v>423</v>
      </c>
      <c r="F117" s="481">
        <f>Rates!$E$21</f>
        <v>10.36</v>
      </c>
      <c r="G117" s="482">
        <f>E117*F117</f>
        <v>4382.28</v>
      </c>
      <c r="H117" s="478">
        <f>G117*0.6</f>
        <v>2629.368</v>
      </c>
      <c r="I117" s="669"/>
    </row>
    <row r="118" spans="1:9" s="670" customFormat="1" ht="12.75">
      <c r="A118" s="655">
        <v>40118</v>
      </c>
      <c r="B118" s="131">
        <v>40133</v>
      </c>
      <c r="C118" s="668">
        <v>430119</v>
      </c>
      <c r="D118" s="533">
        <f t="shared" si="27"/>
        <v>4992</v>
      </c>
      <c r="E118" s="480">
        <f t="shared" si="26"/>
        <v>499.2</v>
      </c>
      <c r="F118" s="481">
        <f>Rates!$E$21</f>
        <v>10.36</v>
      </c>
      <c r="G118" s="482">
        <f>E118*F118</f>
        <v>5171.7119999999995</v>
      </c>
      <c r="H118" s="478">
        <f>G118*0.6</f>
        <v>3103.0271999999995</v>
      </c>
      <c r="I118" s="669"/>
    </row>
    <row r="119" spans="1:9" s="670" customFormat="1" ht="12.75">
      <c r="A119" s="655">
        <v>40148</v>
      </c>
      <c r="B119" s="131">
        <v>40162</v>
      </c>
      <c r="C119" s="668">
        <v>435830</v>
      </c>
      <c r="D119" s="533">
        <f t="shared" si="27"/>
        <v>5711</v>
      </c>
      <c r="E119" s="480">
        <f t="shared" si="26"/>
        <v>571.1</v>
      </c>
      <c r="F119" s="481">
        <f>Rates!$E$21</f>
        <v>10.36</v>
      </c>
      <c r="G119" s="482">
        <f aca="true" t="shared" si="28" ref="G119:G125">IF(E119="","",E119*F119)</f>
        <v>5916.596</v>
      </c>
      <c r="H119" s="478">
        <f aca="true" t="shared" si="29" ref="H119:H125">IF(G119="","",G119*0.6)</f>
        <v>3549.9575999999997</v>
      </c>
      <c r="I119" s="669"/>
    </row>
    <row r="120" spans="1:9" s="670" customFormat="1" ht="12.75">
      <c r="A120" s="655">
        <v>40179</v>
      </c>
      <c r="B120" s="131">
        <v>40193</v>
      </c>
      <c r="C120" s="668">
        <v>442042</v>
      </c>
      <c r="D120" s="533">
        <f t="shared" si="27"/>
        <v>6212</v>
      </c>
      <c r="E120" s="480">
        <f aca="true" t="shared" si="30" ref="E120:E125">IF(D120="","",D120/10)</f>
        <v>621.2</v>
      </c>
      <c r="F120" s="481">
        <f>Rates!$E$21</f>
        <v>10.36</v>
      </c>
      <c r="G120" s="482">
        <f t="shared" si="28"/>
        <v>6435.6320000000005</v>
      </c>
      <c r="H120" s="478">
        <f t="shared" si="29"/>
        <v>3861.3792000000003</v>
      </c>
      <c r="I120" s="669"/>
    </row>
    <row r="121" spans="1:9" s="670" customFormat="1" ht="12.75">
      <c r="A121" s="655">
        <v>40210</v>
      </c>
      <c r="B121" s="131">
        <v>40224</v>
      </c>
      <c r="C121" s="668">
        <v>447811</v>
      </c>
      <c r="D121" s="533">
        <f t="shared" si="27"/>
        <v>5769</v>
      </c>
      <c r="E121" s="480">
        <f t="shared" si="30"/>
        <v>576.9</v>
      </c>
      <c r="F121" s="481">
        <f>Rates!$E$21</f>
        <v>10.36</v>
      </c>
      <c r="G121" s="482">
        <f t="shared" si="28"/>
        <v>5976.683999999999</v>
      </c>
      <c r="H121" s="478">
        <f t="shared" si="29"/>
        <v>3586.0103999999997</v>
      </c>
      <c r="I121" s="677"/>
    </row>
    <row r="122" spans="1:9" s="670" customFormat="1" ht="12.75">
      <c r="A122" s="655">
        <v>40238</v>
      </c>
      <c r="B122" s="131">
        <v>40252</v>
      </c>
      <c r="C122" s="668">
        <v>452678</v>
      </c>
      <c r="D122" s="533">
        <f t="shared" si="27"/>
        <v>4867</v>
      </c>
      <c r="E122" s="480">
        <f t="shared" si="30"/>
        <v>486.7</v>
      </c>
      <c r="F122" s="481">
        <f>Rates!$E$21</f>
        <v>10.36</v>
      </c>
      <c r="G122" s="482">
        <f t="shared" si="28"/>
        <v>5042.2119999999995</v>
      </c>
      <c r="H122" s="478">
        <f t="shared" si="29"/>
        <v>3025.3271999999997</v>
      </c>
      <c r="I122" s="677"/>
    </row>
    <row r="123" spans="1:9" s="658" customFormat="1" ht="12.75">
      <c r="A123" s="655">
        <v>40269</v>
      </c>
      <c r="B123" s="131">
        <v>40284</v>
      </c>
      <c r="C123" s="668">
        <v>458103</v>
      </c>
      <c r="D123" s="533">
        <f t="shared" si="27"/>
        <v>5425</v>
      </c>
      <c r="E123" s="480">
        <f t="shared" si="30"/>
        <v>542.5</v>
      </c>
      <c r="F123" s="481">
        <f>Rates!$E$21</f>
        <v>10.36</v>
      </c>
      <c r="G123" s="482">
        <f t="shared" si="28"/>
        <v>5620.299999999999</v>
      </c>
      <c r="H123" s="478">
        <f t="shared" si="29"/>
        <v>3372.1799999999994</v>
      </c>
      <c r="I123" s="659"/>
    </row>
    <row r="124" spans="1:10" s="658" customFormat="1" ht="12.75">
      <c r="A124" s="655">
        <v>40299</v>
      </c>
      <c r="B124" s="131">
        <v>40312</v>
      </c>
      <c r="C124" s="668" t="s">
        <v>128</v>
      </c>
      <c r="D124" s="533"/>
      <c r="E124" s="687">
        <f>E111</f>
        <v>801.4</v>
      </c>
      <c r="F124" s="481">
        <f>Rates!$E$21</f>
        <v>10.36</v>
      </c>
      <c r="G124" s="482">
        <f t="shared" si="28"/>
        <v>8302.503999999999</v>
      </c>
      <c r="H124" s="478">
        <f t="shared" si="29"/>
        <v>4981.502399999999</v>
      </c>
      <c r="I124" s="660" t="s">
        <v>37</v>
      </c>
      <c r="J124" s="658" t="s">
        <v>8</v>
      </c>
    </row>
    <row r="125" spans="1:10" s="658" customFormat="1" ht="12.75">
      <c r="A125" s="655">
        <v>40330</v>
      </c>
      <c r="B125" s="131">
        <v>40343</v>
      </c>
      <c r="C125" s="668" t="s">
        <v>128</v>
      </c>
      <c r="D125" s="533"/>
      <c r="E125" s="687">
        <f>E112</f>
        <v>590.8</v>
      </c>
      <c r="F125" s="481">
        <f>Rates!$E$21</f>
        <v>10.36</v>
      </c>
      <c r="G125" s="482">
        <f t="shared" si="28"/>
        <v>6120.687999999999</v>
      </c>
      <c r="H125" s="478">
        <f t="shared" si="29"/>
        <v>3672.4127999999996</v>
      </c>
      <c r="I125" s="657">
        <f>SUM(E114:E125)</f>
        <v>6152.200000000001</v>
      </c>
      <c r="J125" s="661">
        <f>SUM(H114:H125)</f>
        <v>38242.0752</v>
      </c>
    </row>
    <row r="126" ht="12.75">
      <c r="I126" s="534">
        <f>(I125-I113)/I113</f>
        <v>-0.069498011101532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fitToHeight="1" fitToWidth="1" horizontalDpi="300" verticalDpi="300" orientation="portrait" scale="79" r:id="rId1"/>
  <headerFooter alignWithMargins="0">
    <oddFooter>&amp;L&amp;D&amp;Rpage &amp;P of &amp;N</oddFooter>
  </headerFooter>
  <rowBreaks count="1" manualBreakCount="1">
    <brk id="5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view="pageBreakPreview" zoomScaleSheetLayoutView="100" zoomScalePageLayoutView="0" workbookViewId="0" topLeftCell="A111">
      <selection activeCell="H131" sqref="H131"/>
    </sheetView>
  </sheetViews>
  <sheetFormatPr defaultColWidth="9.140625" defaultRowHeight="12.75" outlineLevelRow="1"/>
  <cols>
    <col min="1" max="1" width="9.421875" style="1" bestFit="1" customWidth="1"/>
    <col min="2" max="3" width="13.28125" style="0" bestFit="1" customWidth="1"/>
    <col min="4" max="4" width="12.140625" style="0" bestFit="1" customWidth="1"/>
    <col min="5" max="6" width="11.8515625" style="0" customWidth="1"/>
    <col min="7" max="7" width="14.140625" style="0" bestFit="1" customWidth="1"/>
    <col min="8" max="8" width="13.421875" style="0" bestFit="1" customWidth="1"/>
    <col min="9" max="9" width="14.421875" style="0" customWidth="1"/>
    <col min="10" max="10" width="11.28125" style="0" customWidth="1"/>
  </cols>
  <sheetData>
    <row r="1" spans="1:8" ht="18">
      <c r="A1" s="680" t="s">
        <v>0</v>
      </c>
      <c r="B1" s="680"/>
      <c r="C1" s="680"/>
      <c r="D1" s="680"/>
      <c r="E1" s="680"/>
      <c r="F1" s="680"/>
      <c r="G1" s="680"/>
      <c r="H1" s="680"/>
    </row>
    <row r="2" spans="1:8" ht="18">
      <c r="A2" s="681" t="s">
        <v>62</v>
      </c>
      <c r="B2" s="681"/>
      <c r="C2" s="681"/>
      <c r="D2" s="681"/>
      <c r="E2" s="681"/>
      <c r="F2" s="681"/>
      <c r="G2" s="681"/>
      <c r="H2" s="681"/>
    </row>
    <row r="4" ht="13.5" thickBot="1"/>
    <row r="5" spans="1:8" ht="12.75">
      <c r="A5" s="6" t="s">
        <v>1</v>
      </c>
      <c r="B5" s="6" t="s">
        <v>3</v>
      </c>
      <c r="C5" s="6" t="s">
        <v>4</v>
      </c>
      <c r="D5" s="6" t="s">
        <v>5</v>
      </c>
      <c r="E5" s="6" t="s">
        <v>5</v>
      </c>
      <c r="F5" s="6" t="s">
        <v>42</v>
      </c>
      <c r="G5" s="6" t="s">
        <v>7</v>
      </c>
      <c r="H5" s="6" t="s">
        <v>9</v>
      </c>
    </row>
    <row r="6" spans="1:8" ht="13.5" thickBot="1">
      <c r="A6" s="405" t="s">
        <v>2</v>
      </c>
      <c r="B6" s="415" t="s">
        <v>4</v>
      </c>
      <c r="C6" s="415" t="s">
        <v>39</v>
      </c>
      <c r="D6" s="415" t="s">
        <v>40</v>
      </c>
      <c r="E6" s="415" t="s">
        <v>41</v>
      </c>
      <c r="F6" s="415" t="s">
        <v>43</v>
      </c>
      <c r="G6" s="415" t="s">
        <v>8</v>
      </c>
      <c r="H6" s="415" t="s">
        <v>8</v>
      </c>
    </row>
    <row r="7" spans="1:10" ht="12.75" hidden="1" outlineLevel="1">
      <c r="A7" s="375">
        <v>36708</v>
      </c>
      <c r="B7" s="122">
        <v>36739</v>
      </c>
      <c r="C7" s="115">
        <v>14759</v>
      </c>
      <c r="D7" s="123">
        <v>962</v>
      </c>
      <c r="E7" s="115">
        <f>D7*1000/7.48</f>
        <v>128609.6256684492</v>
      </c>
      <c r="F7" s="124">
        <v>0.0285</v>
      </c>
      <c r="G7" s="107">
        <f>E7*F7</f>
        <v>3665.3743315508023</v>
      </c>
      <c r="H7" s="125">
        <f aca="true" t="shared" si="0" ref="H7:H54">G7*0.6</f>
        <v>2199.224598930481</v>
      </c>
      <c r="I7" s="32"/>
      <c r="J7" s="95"/>
    </row>
    <row r="8" spans="1:10" ht="12.75" hidden="1" outlineLevel="1">
      <c r="A8" s="376">
        <v>36739</v>
      </c>
      <c r="B8" s="91">
        <v>36768</v>
      </c>
      <c r="C8" s="25">
        <v>15682</v>
      </c>
      <c r="D8" s="93">
        <f aca="true" t="shared" si="1" ref="D8:D18">C8-C7</f>
        <v>923</v>
      </c>
      <c r="E8" s="25">
        <f aca="true" t="shared" si="2" ref="E8:E49">D8*1000/7.48</f>
        <v>123395.72192513368</v>
      </c>
      <c r="F8" s="126">
        <v>0.0285</v>
      </c>
      <c r="G8" s="26">
        <f aca="true" t="shared" si="3" ref="G8:G30">E8*F8</f>
        <v>3516.77807486631</v>
      </c>
      <c r="H8" s="89">
        <f t="shared" si="0"/>
        <v>2110.066844919786</v>
      </c>
      <c r="J8" s="95"/>
    </row>
    <row r="9" spans="1:10" ht="12.75" hidden="1" outlineLevel="1">
      <c r="A9" s="100">
        <v>36770</v>
      </c>
      <c r="B9" s="91">
        <v>36803</v>
      </c>
      <c r="C9" s="25">
        <v>16729</v>
      </c>
      <c r="D9" s="93">
        <f t="shared" si="1"/>
        <v>1047</v>
      </c>
      <c r="E9" s="25">
        <f t="shared" si="2"/>
        <v>139973.26203208556</v>
      </c>
      <c r="F9" s="126">
        <v>0.0285</v>
      </c>
      <c r="G9" s="26">
        <f t="shared" si="3"/>
        <v>3989.2379679144387</v>
      </c>
      <c r="H9" s="89">
        <f t="shared" si="0"/>
        <v>2393.542780748663</v>
      </c>
      <c r="J9" s="95"/>
    </row>
    <row r="10" spans="1:10" ht="12.75" hidden="1" outlineLevel="1">
      <c r="A10" s="100">
        <v>36800</v>
      </c>
      <c r="B10" s="91">
        <v>36831</v>
      </c>
      <c r="C10" s="25">
        <v>17412</v>
      </c>
      <c r="D10" s="93">
        <f t="shared" si="1"/>
        <v>683</v>
      </c>
      <c r="E10" s="25">
        <f t="shared" si="2"/>
        <v>91310.16042780748</v>
      </c>
      <c r="F10" s="126">
        <v>0.0285</v>
      </c>
      <c r="G10" s="26">
        <f t="shared" si="3"/>
        <v>2602.3395721925135</v>
      </c>
      <c r="H10" s="89">
        <f t="shared" si="0"/>
        <v>1561.403743315508</v>
      </c>
      <c r="J10" s="95"/>
    </row>
    <row r="11" spans="1:10" ht="12.75" hidden="1" outlineLevel="1">
      <c r="A11" s="100">
        <v>36831</v>
      </c>
      <c r="B11" s="91">
        <v>36866</v>
      </c>
      <c r="C11" s="25">
        <v>17809</v>
      </c>
      <c r="D11" s="93">
        <f t="shared" si="1"/>
        <v>397</v>
      </c>
      <c r="E11" s="25">
        <f t="shared" si="2"/>
        <v>53074.866310160425</v>
      </c>
      <c r="F11" s="126">
        <v>0.0285</v>
      </c>
      <c r="G11" s="26">
        <f t="shared" si="3"/>
        <v>1512.633689839572</v>
      </c>
      <c r="H11" s="89">
        <f t="shared" si="0"/>
        <v>907.5802139037432</v>
      </c>
      <c r="J11" s="95"/>
    </row>
    <row r="12" spans="1:10" ht="12.75" hidden="1" outlineLevel="1">
      <c r="A12" s="100">
        <v>36861</v>
      </c>
      <c r="B12" s="91">
        <v>36900</v>
      </c>
      <c r="C12" s="25">
        <v>18033</v>
      </c>
      <c r="D12" s="93">
        <f t="shared" si="1"/>
        <v>224</v>
      </c>
      <c r="E12" s="25">
        <f t="shared" si="2"/>
        <v>29946.52406417112</v>
      </c>
      <c r="F12" s="126">
        <v>0.0285</v>
      </c>
      <c r="G12" s="26">
        <f t="shared" si="3"/>
        <v>853.475935828877</v>
      </c>
      <c r="H12" s="89">
        <f t="shared" si="0"/>
        <v>512.0855614973262</v>
      </c>
      <c r="J12" s="95"/>
    </row>
    <row r="13" spans="1:10" ht="12.75" hidden="1" outlineLevel="1">
      <c r="A13" s="100">
        <v>36892</v>
      </c>
      <c r="B13" s="91">
        <v>36929</v>
      </c>
      <c r="C13" s="25">
        <v>18349</v>
      </c>
      <c r="D13" s="93">
        <f t="shared" si="1"/>
        <v>316</v>
      </c>
      <c r="E13" s="25">
        <f t="shared" si="2"/>
        <v>42245.98930481283</v>
      </c>
      <c r="F13" s="126">
        <v>0.0285</v>
      </c>
      <c r="G13" s="26">
        <f t="shared" si="3"/>
        <v>1204.0106951871658</v>
      </c>
      <c r="H13" s="89">
        <f t="shared" si="0"/>
        <v>722.4064171122994</v>
      </c>
      <c r="J13" s="95"/>
    </row>
    <row r="14" spans="1:10" ht="12.75" hidden="1" outlineLevel="1">
      <c r="A14" s="100">
        <v>36923</v>
      </c>
      <c r="B14" s="91">
        <v>36956</v>
      </c>
      <c r="C14" s="25">
        <v>18670</v>
      </c>
      <c r="D14" s="93">
        <f t="shared" si="1"/>
        <v>321</v>
      </c>
      <c r="E14" s="25">
        <f t="shared" si="2"/>
        <v>42914.438502673795</v>
      </c>
      <c r="F14" s="126">
        <v>0.0285</v>
      </c>
      <c r="G14" s="26">
        <f t="shared" si="3"/>
        <v>1223.0614973262032</v>
      </c>
      <c r="H14" s="89">
        <f t="shared" si="0"/>
        <v>733.8368983957218</v>
      </c>
      <c r="I14" t="s">
        <v>23</v>
      </c>
      <c r="J14" s="95"/>
    </row>
    <row r="15" spans="1:10" ht="12.75" hidden="1" outlineLevel="1">
      <c r="A15" s="100">
        <v>36951</v>
      </c>
      <c r="B15" s="91">
        <v>36985</v>
      </c>
      <c r="C15" s="25">
        <v>18942</v>
      </c>
      <c r="D15" s="93">
        <f t="shared" si="1"/>
        <v>272</v>
      </c>
      <c r="E15" s="25">
        <f t="shared" si="2"/>
        <v>36363.63636363636</v>
      </c>
      <c r="F15" s="126">
        <v>0.0285</v>
      </c>
      <c r="G15" s="26">
        <f t="shared" si="3"/>
        <v>1036.3636363636363</v>
      </c>
      <c r="H15" s="89">
        <f t="shared" si="0"/>
        <v>621.8181818181818</v>
      </c>
      <c r="I15" t="s">
        <v>23</v>
      </c>
      <c r="J15" s="95"/>
    </row>
    <row r="16" spans="1:10" ht="12.75" hidden="1" outlineLevel="1">
      <c r="A16" s="100">
        <v>36982</v>
      </c>
      <c r="B16" s="91">
        <v>37012</v>
      </c>
      <c r="C16" s="25">
        <v>19199</v>
      </c>
      <c r="D16" s="93">
        <f t="shared" si="1"/>
        <v>257</v>
      </c>
      <c r="E16" s="25">
        <f t="shared" si="2"/>
        <v>34358.28877005348</v>
      </c>
      <c r="F16" s="126">
        <v>0.0285</v>
      </c>
      <c r="G16" s="26">
        <f t="shared" si="3"/>
        <v>979.2112299465241</v>
      </c>
      <c r="H16" s="89">
        <f t="shared" si="0"/>
        <v>587.5267379679144</v>
      </c>
      <c r="J16" s="95"/>
    </row>
    <row r="17" spans="1:11" s="17" customFormat="1" ht="12.75" hidden="1" outlineLevel="1">
      <c r="A17" s="100">
        <v>37012</v>
      </c>
      <c r="B17" s="91">
        <v>37043</v>
      </c>
      <c r="C17" s="25">
        <v>19891</v>
      </c>
      <c r="D17" s="93">
        <f t="shared" si="1"/>
        <v>692</v>
      </c>
      <c r="E17" s="25">
        <f t="shared" si="2"/>
        <v>92513.36898395722</v>
      </c>
      <c r="F17" s="126">
        <v>0.0285</v>
      </c>
      <c r="G17" s="26">
        <f t="shared" si="3"/>
        <v>2636.6310160427806</v>
      </c>
      <c r="H17" s="89">
        <f t="shared" si="0"/>
        <v>1581.9786096256682</v>
      </c>
      <c r="J17" s="95"/>
      <c r="K17"/>
    </row>
    <row r="18" spans="1:11" s="17" customFormat="1" ht="13.5" hidden="1" outlineLevel="1" thickBot="1">
      <c r="A18" s="374">
        <v>37043</v>
      </c>
      <c r="B18" s="92">
        <v>37074</v>
      </c>
      <c r="C18" s="30">
        <v>20713</v>
      </c>
      <c r="D18" s="94">
        <f t="shared" si="1"/>
        <v>822</v>
      </c>
      <c r="E18" s="30">
        <f t="shared" si="2"/>
        <v>109893.04812834224</v>
      </c>
      <c r="F18" s="121">
        <v>0.0285</v>
      </c>
      <c r="G18" s="31">
        <f t="shared" si="3"/>
        <v>3131.951871657754</v>
      </c>
      <c r="H18" s="90">
        <f t="shared" si="0"/>
        <v>1879.1711229946523</v>
      </c>
      <c r="J18" s="95"/>
      <c r="K18"/>
    </row>
    <row r="19" spans="1:10" ht="12.75" hidden="1" outlineLevel="1">
      <c r="A19" s="375">
        <v>37073</v>
      </c>
      <c r="B19" s="122">
        <v>36744</v>
      </c>
      <c r="C19" s="115">
        <v>22158</v>
      </c>
      <c r="D19" s="123">
        <v>962</v>
      </c>
      <c r="E19" s="115">
        <f t="shared" si="2"/>
        <v>128609.6256684492</v>
      </c>
      <c r="F19" s="124">
        <v>0.0285</v>
      </c>
      <c r="G19" s="107">
        <f t="shared" si="3"/>
        <v>3665.3743315508023</v>
      </c>
      <c r="H19" s="125">
        <f t="shared" si="0"/>
        <v>2199.224598930481</v>
      </c>
      <c r="J19" s="95"/>
    </row>
    <row r="20" spans="1:8" s="17" customFormat="1" ht="12.75" hidden="1" outlineLevel="1">
      <c r="A20" s="376">
        <v>37104</v>
      </c>
      <c r="B20" s="91">
        <v>37139</v>
      </c>
      <c r="C20" s="25">
        <v>23327</v>
      </c>
      <c r="D20" s="93">
        <f aca="true" t="shared" si="4" ref="D20:D27">C20-C19</f>
        <v>1169</v>
      </c>
      <c r="E20" s="25">
        <f t="shared" si="2"/>
        <v>156283.42245989305</v>
      </c>
      <c r="F20" s="126">
        <v>0.0285</v>
      </c>
      <c r="G20" s="26">
        <f t="shared" si="3"/>
        <v>4454.077540106952</v>
      </c>
      <c r="H20" s="89">
        <f t="shared" si="0"/>
        <v>2672.446524064171</v>
      </c>
    </row>
    <row r="21" spans="1:8" s="17" customFormat="1" ht="12.75" hidden="1" outlineLevel="1">
      <c r="A21" s="376">
        <v>37135</v>
      </c>
      <c r="B21" s="91">
        <v>37169</v>
      </c>
      <c r="C21" s="25">
        <v>24049</v>
      </c>
      <c r="D21" s="93">
        <f t="shared" si="4"/>
        <v>722</v>
      </c>
      <c r="E21" s="25">
        <f t="shared" si="2"/>
        <v>96524.06417112298</v>
      </c>
      <c r="F21" s="126">
        <v>0.0285</v>
      </c>
      <c r="G21" s="26">
        <f t="shared" si="3"/>
        <v>2750.935828877005</v>
      </c>
      <c r="H21" s="89">
        <f t="shared" si="0"/>
        <v>1650.561497326203</v>
      </c>
    </row>
    <row r="22" spans="1:8" s="17" customFormat="1" ht="12.75" hidden="1" outlineLevel="1">
      <c r="A22" s="376">
        <v>37165</v>
      </c>
      <c r="B22" s="91">
        <v>37202</v>
      </c>
      <c r="C22" s="25">
        <v>24564</v>
      </c>
      <c r="D22" s="93">
        <f t="shared" si="4"/>
        <v>515</v>
      </c>
      <c r="E22" s="25">
        <f t="shared" si="2"/>
        <v>68850.26737967914</v>
      </c>
      <c r="F22" s="126">
        <v>0.0285</v>
      </c>
      <c r="G22" s="26">
        <f t="shared" si="3"/>
        <v>1962.2326203208554</v>
      </c>
      <c r="H22" s="89">
        <f t="shared" si="0"/>
        <v>1177.3395721925133</v>
      </c>
    </row>
    <row r="23" spans="1:8" s="17" customFormat="1" ht="12.75" hidden="1" outlineLevel="1">
      <c r="A23" s="376">
        <v>37196</v>
      </c>
      <c r="B23" s="24">
        <v>37595</v>
      </c>
      <c r="C23" s="25">
        <v>24878</v>
      </c>
      <c r="D23" s="93">
        <f t="shared" si="4"/>
        <v>314</v>
      </c>
      <c r="E23" s="25">
        <f t="shared" si="2"/>
        <v>41978.60962566845</v>
      </c>
      <c r="F23" s="126">
        <v>0.0285</v>
      </c>
      <c r="G23" s="26">
        <f t="shared" si="3"/>
        <v>1196.3903743315507</v>
      </c>
      <c r="H23" s="89">
        <f t="shared" si="0"/>
        <v>717.8342245989304</v>
      </c>
    </row>
    <row r="24" spans="1:8" s="17" customFormat="1" ht="12.75" hidden="1" outlineLevel="1">
      <c r="A24" s="376">
        <v>37226</v>
      </c>
      <c r="B24" s="24">
        <v>37263</v>
      </c>
      <c r="C24" s="25">
        <v>25148</v>
      </c>
      <c r="D24" s="93">
        <f t="shared" si="4"/>
        <v>270</v>
      </c>
      <c r="E24" s="25">
        <f t="shared" si="2"/>
        <v>36096.25668449198</v>
      </c>
      <c r="F24" s="126">
        <v>0.0285</v>
      </c>
      <c r="G24" s="26">
        <f t="shared" si="3"/>
        <v>1028.7433155080214</v>
      </c>
      <c r="H24" s="89">
        <f t="shared" si="0"/>
        <v>617.2459893048128</v>
      </c>
    </row>
    <row r="25" spans="1:8" s="17" customFormat="1" ht="12.75" hidden="1" outlineLevel="1">
      <c r="A25" s="376">
        <v>37257</v>
      </c>
      <c r="B25" s="24">
        <v>37298</v>
      </c>
      <c r="C25" s="25">
        <v>25579</v>
      </c>
      <c r="D25" s="93">
        <f t="shared" si="4"/>
        <v>431</v>
      </c>
      <c r="E25" s="25">
        <f t="shared" si="2"/>
        <v>57620.32085561497</v>
      </c>
      <c r="F25" s="126">
        <v>0.0285</v>
      </c>
      <c r="G25" s="26">
        <f t="shared" si="3"/>
        <v>1642.1791443850266</v>
      </c>
      <c r="H25" s="89">
        <f t="shared" si="0"/>
        <v>985.3074866310159</v>
      </c>
    </row>
    <row r="26" spans="1:8" s="17" customFormat="1" ht="12.75" hidden="1" outlineLevel="1">
      <c r="A26" s="376">
        <v>37288</v>
      </c>
      <c r="B26" s="24">
        <v>37323</v>
      </c>
      <c r="C26" s="25">
        <v>25899</v>
      </c>
      <c r="D26" s="93">
        <f t="shared" si="4"/>
        <v>320</v>
      </c>
      <c r="E26" s="25">
        <f t="shared" si="2"/>
        <v>42780.7486631016</v>
      </c>
      <c r="F26" s="126">
        <v>0.0285</v>
      </c>
      <c r="G26" s="26">
        <f t="shared" si="3"/>
        <v>1219.2513368983957</v>
      </c>
      <c r="H26" s="89">
        <f t="shared" si="0"/>
        <v>731.5508021390374</v>
      </c>
    </row>
    <row r="27" spans="1:8" s="17" customFormat="1" ht="12.75" hidden="1" outlineLevel="1">
      <c r="A27" s="376">
        <v>37316</v>
      </c>
      <c r="B27" s="24">
        <v>37351</v>
      </c>
      <c r="C27" s="25">
        <v>26199</v>
      </c>
      <c r="D27" s="93">
        <f t="shared" si="4"/>
        <v>300</v>
      </c>
      <c r="E27" s="25">
        <f t="shared" si="2"/>
        <v>40106.95187165775</v>
      </c>
      <c r="F27" s="126">
        <v>0.0285</v>
      </c>
      <c r="G27" s="26">
        <f t="shared" si="3"/>
        <v>1143.048128342246</v>
      </c>
      <c r="H27" s="89">
        <f t="shared" si="0"/>
        <v>685.8288770053475</v>
      </c>
    </row>
    <row r="28" spans="1:8" s="17" customFormat="1" ht="12.75" hidden="1" outlineLevel="1">
      <c r="A28" s="376">
        <v>37347</v>
      </c>
      <c r="B28" s="24">
        <v>37393</v>
      </c>
      <c r="C28" s="25">
        <v>26671</v>
      </c>
      <c r="D28" s="93">
        <f aca="true" t="shared" si="5" ref="D28:D35">C28-C27</f>
        <v>472</v>
      </c>
      <c r="E28" s="25">
        <f t="shared" si="2"/>
        <v>63101.60427807486</v>
      </c>
      <c r="F28" s="126">
        <v>0.0285</v>
      </c>
      <c r="G28" s="26">
        <f t="shared" si="3"/>
        <v>1798.3957219251336</v>
      </c>
      <c r="H28" s="89">
        <f t="shared" si="0"/>
        <v>1079.0374331550802</v>
      </c>
    </row>
    <row r="29" spans="1:8" s="17" customFormat="1" ht="12.75" hidden="1" outlineLevel="1">
      <c r="A29" s="100">
        <v>37377</v>
      </c>
      <c r="B29" s="24">
        <v>37421</v>
      </c>
      <c r="C29" s="25">
        <v>27236</v>
      </c>
      <c r="D29" s="93">
        <f t="shared" si="5"/>
        <v>565</v>
      </c>
      <c r="E29" s="25">
        <f t="shared" si="2"/>
        <v>75534.75935828876</v>
      </c>
      <c r="F29" s="126">
        <v>0.0285</v>
      </c>
      <c r="G29" s="26">
        <f t="shared" si="3"/>
        <v>2152.7406417112297</v>
      </c>
      <c r="H29" s="89">
        <f t="shared" si="0"/>
        <v>1291.6443850267378</v>
      </c>
    </row>
    <row r="30" spans="1:8" s="17" customFormat="1" ht="13.5" hidden="1" outlineLevel="1" thickBot="1">
      <c r="A30" s="111">
        <v>37408</v>
      </c>
      <c r="B30" s="55">
        <v>37439</v>
      </c>
      <c r="C30" s="30">
        <v>27869</v>
      </c>
      <c r="D30" s="127">
        <f t="shared" si="5"/>
        <v>633</v>
      </c>
      <c r="E30" s="30">
        <f t="shared" si="2"/>
        <v>84625.66844919785</v>
      </c>
      <c r="F30" s="121">
        <v>0.0285</v>
      </c>
      <c r="G30" s="31">
        <f t="shared" si="3"/>
        <v>2411.8315508021387</v>
      </c>
      <c r="H30" s="90">
        <f t="shared" si="0"/>
        <v>1447.098930481283</v>
      </c>
    </row>
    <row r="31" spans="1:10" s="147" customFormat="1" ht="12.75" collapsed="1">
      <c r="A31" s="375">
        <v>37438</v>
      </c>
      <c r="B31" s="191">
        <v>37476</v>
      </c>
      <c r="C31" s="204">
        <v>29349</v>
      </c>
      <c r="D31" s="192">
        <f t="shared" si="5"/>
        <v>1480</v>
      </c>
      <c r="E31" s="192">
        <f t="shared" si="2"/>
        <v>197860.96256684492</v>
      </c>
      <c r="F31" s="205">
        <v>0.0285</v>
      </c>
      <c r="G31" s="195">
        <f aca="true" t="shared" si="6" ref="G31:G36">E31*F31</f>
        <v>5639.03743315508</v>
      </c>
      <c r="H31" s="206">
        <f t="shared" si="0"/>
        <v>3383.422459893048</v>
      </c>
      <c r="J31" s="97"/>
    </row>
    <row r="32" spans="1:8" s="147" customFormat="1" ht="12.75">
      <c r="A32" s="376">
        <v>37469</v>
      </c>
      <c r="B32" s="168">
        <v>37502</v>
      </c>
      <c r="C32" s="169">
        <v>30022</v>
      </c>
      <c r="D32" s="197">
        <f t="shared" si="5"/>
        <v>673</v>
      </c>
      <c r="E32" s="197">
        <f t="shared" si="2"/>
        <v>89973.26203208555</v>
      </c>
      <c r="F32" s="207">
        <v>0.0285</v>
      </c>
      <c r="G32" s="199">
        <f t="shared" si="6"/>
        <v>2564.2379679144383</v>
      </c>
      <c r="H32" s="208">
        <f t="shared" si="0"/>
        <v>1538.5427807486628</v>
      </c>
    </row>
    <row r="33" spans="1:8" s="147" customFormat="1" ht="12.75">
      <c r="A33" s="376">
        <v>37500</v>
      </c>
      <c r="B33" s="168">
        <v>37531</v>
      </c>
      <c r="C33" s="169">
        <v>31124</v>
      </c>
      <c r="D33" s="197">
        <f t="shared" si="5"/>
        <v>1102</v>
      </c>
      <c r="E33" s="197">
        <f t="shared" si="2"/>
        <v>147326.20320855614</v>
      </c>
      <c r="F33" s="207">
        <v>0.0285</v>
      </c>
      <c r="G33" s="199">
        <f t="shared" si="6"/>
        <v>4198.79679144385</v>
      </c>
      <c r="H33" s="208">
        <f t="shared" si="0"/>
        <v>2519.2780748663104</v>
      </c>
    </row>
    <row r="34" spans="1:8" s="17" customFormat="1" ht="12.75">
      <c r="A34" s="376">
        <v>37530</v>
      </c>
      <c r="B34" s="24">
        <v>37571</v>
      </c>
      <c r="C34" s="25">
        <v>32028</v>
      </c>
      <c r="D34" s="93">
        <f t="shared" si="5"/>
        <v>904</v>
      </c>
      <c r="E34" s="25">
        <f t="shared" si="2"/>
        <v>120855.61497326203</v>
      </c>
      <c r="F34" s="126">
        <v>0.0285</v>
      </c>
      <c r="G34" s="26">
        <f t="shared" si="6"/>
        <v>3444.385026737968</v>
      </c>
      <c r="H34" s="89">
        <f t="shared" si="0"/>
        <v>2066.6310160427806</v>
      </c>
    </row>
    <row r="35" spans="1:8" s="17" customFormat="1" ht="12.75">
      <c r="A35" s="376">
        <v>37561</v>
      </c>
      <c r="B35" s="24">
        <v>37593</v>
      </c>
      <c r="C35" s="25">
        <v>32240</v>
      </c>
      <c r="D35" s="93">
        <f t="shared" si="5"/>
        <v>212</v>
      </c>
      <c r="E35" s="25">
        <f t="shared" si="2"/>
        <v>28342.24598930481</v>
      </c>
      <c r="F35" s="126">
        <v>0.0285</v>
      </c>
      <c r="G35" s="26">
        <f t="shared" si="6"/>
        <v>807.7540106951872</v>
      </c>
      <c r="H35" s="89">
        <f t="shared" si="0"/>
        <v>484.6524064171123</v>
      </c>
    </row>
    <row r="36" spans="1:8" s="17" customFormat="1" ht="12.75">
      <c r="A36" s="376">
        <v>37591</v>
      </c>
      <c r="B36" s="24">
        <v>37624</v>
      </c>
      <c r="C36" s="25">
        <v>32491</v>
      </c>
      <c r="D36" s="93">
        <f aca="true" t="shared" si="7" ref="D36:D46">C36-C35</f>
        <v>251</v>
      </c>
      <c r="E36" s="25">
        <f t="shared" si="2"/>
        <v>33556.14973262032</v>
      </c>
      <c r="F36" s="126">
        <v>0.0285</v>
      </c>
      <c r="G36" s="26">
        <f t="shared" si="6"/>
        <v>956.350267379679</v>
      </c>
      <c r="H36" s="89">
        <f t="shared" si="0"/>
        <v>573.8101604278074</v>
      </c>
    </row>
    <row r="37" spans="1:8" s="147" customFormat="1" ht="12.75">
      <c r="A37" s="376">
        <v>37622</v>
      </c>
      <c r="B37" s="168">
        <v>37652</v>
      </c>
      <c r="C37" s="169">
        <v>32811</v>
      </c>
      <c r="D37" s="169">
        <f t="shared" si="7"/>
        <v>320</v>
      </c>
      <c r="E37" s="197">
        <f t="shared" si="2"/>
        <v>42780.7486631016</v>
      </c>
      <c r="F37" s="207">
        <v>0.0285</v>
      </c>
      <c r="G37" s="199">
        <f aca="true" t="shared" si="8" ref="G37:G45">E37*F37</f>
        <v>1219.2513368983957</v>
      </c>
      <c r="H37" s="208">
        <f t="shared" si="0"/>
        <v>731.5508021390374</v>
      </c>
    </row>
    <row r="38" spans="1:8" s="147" customFormat="1" ht="12.75">
      <c r="A38" s="376">
        <v>37653</v>
      </c>
      <c r="B38" s="168">
        <v>37680</v>
      </c>
      <c r="C38" s="169">
        <v>33165</v>
      </c>
      <c r="D38" s="169">
        <f t="shared" si="7"/>
        <v>354</v>
      </c>
      <c r="E38" s="197">
        <f t="shared" si="2"/>
        <v>47326.203208556144</v>
      </c>
      <c r="F38" s="207">
        <v>0.0285</v>
      </c>
      <c r="G38" s="199">
        <f t="shared" si="8"/>
        <v>1348.7967914438502</v>
      </c>
      <c r="H38" s="208">
        <f t="shared" si="0"/>
        <v>809.2780748663101</v>
      </c>
    </row>
    <row r="39" spans="1:8" s="147" customFormat="1" ht="12.75">
      <c r="A39" s="376">
        <v>37681</v>
      </c>
      <c r="B39" s="168">
        <v>37711</v>
      </c>
      <c r="C39" s="169">
        <v>33492</v>
      </c>
      <c r="D39" s="169">
        <f t="shared" si="7"/>
        <v>327</v>
      </c>
      <c r="E39" s="197">
        <f t="shared" si="2"/>
        <v>43716.57754010695</v>
      </c>
      <c r="F39" s="207">
        <v>0.0285</v>
      </c>
      <c r="G39" s="199">
        <f t="shared" si="8"/>
        <v>1245.922459893048</v>
      </c>
      <c r="H39" s="208">
        <f t="shared" si="0"/>
        <v>747.5534759358287</v>
      </c>
    </row>
    <row r="40" spans="1:8" s="147" customFormat="1" ht="12.75">
      <c r="A40" s="376">
        <v>37712</v>
      </c>
      <c r="B40" s="168">
        <v>37741</v>
      </c>
      <c r="C40" s="169">
        <v>33810</v>
      </c>
      <c r="D40" s="169">
        <f t="shared" si="7"/>
        <v>318</v>
      </c>
      <c r="E40" s="197">
        <f t="shared" si="2"/>
        <v>42513.36898395722</v>
      </c>
      <c r="F40" s="207">
        <v>0.0285</v>
      </c>
      <c r="G40" s="199">
        <f t="shared" si="8"/>
        <v>1211.6310160427809</v>
      </c>
      <c r="H40" s="208">
        <f t="shared" si="0"/>
        <v>726.9786096256685</v>
      </c>
    </row>
    <row r="41" spans="1:8" s="147" customFormat="1" ht="12.75">
      <c r="A41" s="100">
        <v>37742</v>
      </c>
      <c r="B41" s="168">
        <v>37775</v>
      </c>
      <c r="C41" s="169">
        <v>34134</v>
      </c>
      <c r="D41" s="169">
        <f t="shared" si="7"/>
        <v>324</v>
      </c>
      <c r="E41" s="197">
        <f t="shared" si="2"/>
        <v>43315.50802139037</v>
      </c>
      <c r="F41" s="207">
        <v>0.0285</v>
      </c>
      <c r="G41" s="199">
        <f t="shared" si="8"/>
        <v>1234.4919786096257</v>
      </c>
      <c r="H41" s="208">
        <f t="shared" si="0"/>
        <v>740.6951871657753</v>
      </c>
    </row>
    <row r="42" spans="1:8" s="147" customFormat="1" ht="13.5" thickBot="1">
      <c r="A42" s="111">
        <v>37773</v>
      </c>
      <c r="B42" s="173">
        <v>37803</v>
      </c>
      <c r="C42" s="174">
        <v>35070</v>
      </c>
      <c r="D42" s="278">
        <f t="shared" si="7"/>
        <v>936</v>
      </c>
      <c r="E42" s="279">
        <f t="shared" si="2"/>
        <v>125133.68983957218</v>
      </c>
      <c r="F42" s="238">
        <v>0.0285</v>
      </c>
      <c r="G42" s="250">
        <f t="shared" si="8"/>
        <v>3566.310160427807</v>
      </c>
      <c r="H42" s="280">
        <f t="shared" si="0"/>
        <v>2139.7860962566842</v>
      </c>
    </row>
    <row r="43" spans="1:8" s="147" customFormat="1" ht="12.75">
      <c r="A43" s="196">
        <v>37803</v>
      </c>
      <c r="B43" s="24">
        <v>37834</v>
      </c>
      <c r="C43" s="170">
        <v>36073</v>
      </c>
      <c r="D43" s="192">
        <f t="shared" si="7"/>
        <v>1003</v>
      </c>
      <c r="E43" s="192">
        <f t="shared" si="2"/>
        <v>134090.9090909091</v>
      </c>
      <c r="F43" s="341">
        <v>0.035500000000000004</v>
      </c>
      <c r="G43" s="195">
        <f t="shared" si="8"/>
        <v>4760.227272727273</v>
      </c>
      <c r="H43" s="195">
        <f t="shared" si="0"/>
        <v>2856.1363636363635</v>
      </c>
    </row>
    <row r="44" spans="1:8" s="147" customFormat="1" ht="12.75">
      <c r="A44" s="196">
        <v>37834</v>
      </c>
      <c r="B44" s="168">
        <v>37866</v>
      </c>
      <c r="C44" s="197">
        <v>37933</v>
      </c>
      <c r="D44" s="197">
        <f t="shared" si="7"/>
        <v>1860</v>
      </c>
      <c r="E44" s="197">
        <f t="shared" si="2"/>
        <v>248663.10160427805</v>
      </c>
      <c r="F44" s="342">
        <v>0.035500000000000004</v>
      </c>
      <c r="G44" s="199">
        <f t="shared" si="8"/>
        <v>8827.540106951872</v>
      </c>
      <c r="H44" s="199">
        <f t="shared" si="0"/>
        <v>5296.524064171123</v>
      </c>
    </row>
    <row r="45" spans="1:8" s="147" customFormat="1" ht="12.75">
      <c r="A45" s="196">
        <v>37865</v>
      </c>
      <c r="B45" s="168">
        <v>37888</v>
      </c>
      <c r="C45" s="197">
        <v>38571</v>
      </c>
      <c r="D45" s="197">
        <f t="shared" si="7"/>
        <v>638</v>
      </c>
      <c r="E45" s="197">
        <f t="shared" si="2"/>
        <v>85294.11764705883</v>
      </c>
      <c r="F45" s="342">
        <v>0.035500000000000004</v>
      </c>
      <c r="G45" s="199">
        <f t="shared" si="8"/>
        <v>3027.9411764705887</v>
      </c>
      <c r="H45" s="199">
        <f t="shared" si="0"/>
        <v>1816.7647058823532</v>
      </c>
    </row>
    <row r="46" spans="1:8" s="17" customFormat="1" ht="12.75">
      <c r="A46" s="23">
        <v>37895</v>
      </c>
      <c r="B46" s="168">
        <v>37918</v>
      </c>
      <c r="C46" s="197">
        <v>39146</v>
      </c>
      <c r="D46" s="197">
        <f t="shared" si="7"/>
        <v>575</v>
      </c>
      <c r="E46" s="197">
        <f t="shared" si="2"/>
        <v>76871.6577540107</v>
      </c>
      <c r="F46" s="342">
        <v>0.035500000000000004</v>
      </c>
      <c r="G46" s="199">
        <f aca="true" t="shared" si="9" ref="G46:G54">E46*F46</f>
        <v>2728.94385026738</v>
      </c>
      <c r="H46" s="199">
        <f t="shared" si="0"/>
        <v>1637.3663101604282</v>
      </c>
    </row>
    <row r="47" spans="1:8" s="17" customFormat="1" ht="12.75">
      <c r="A47" s="23">
        <v>37926</v>
      </c>
      <c r="B47" s="244">
        <v>37946</v>
      </c>
      <c r="C47" s="25">
        <v>39668</v>
      </c>
      <c r="D47" s="197">
        <f aca="true" t="shared" si="10" ref="D47:D53">C47-C46</f>
        <v>522</v>
      </c>
      <c r="E47" s="197">
        <f t="shared" si="2"/>
        <v>69786.09625668448</v>
      </c>
      <c r="F47" s="342">
        <v>0.035500000000000004</v>
      </c>
      <c r="G47" s="199">
        <f t="shared" si="9"/>
        <v>2477.4064171122996</v>
      </c>
      <c r="H47" s="199">
        <f t="shared" si="0"/>
        <v>1486.4438502673797</v>
      </c>
    </row>
    <row r="48" spans="1:8" s="347" customFormat="1" ht="12.75">
      <c r="A48" s="372">
        <v>37956</v>
      </c>
      <c r="B48" s="343">
        <v>37984</v>
      </c>
      <c r="C48" s="344">
        <v>39990</v>
      </c>
      <c r="D48" s="344">
        <f t="shared" si="10"/>
        <v>322</v>
      </c>
      <c r="E48" s="344">
        <f t="shared" si="2"/>
        <v>43048.12834224599</v>
      </c>
      <c r="F48" s="345">
        <v>0.035500000000000004</v>
      </c>
      <c r="G48" s="346">
        <f t="shared" si="9"/>
        <v>1528.2085561497329</v>
      </c>
      <c r="H48" s="346">
        <f t="shared" si="0"/>
        <v>916.9251336898398</v>
      </c>
    </row>
    <row r="49" spans="1:8" s="347" customFormat="1" ht="12.75">
      <c r="A49" s="372">
        <v>37987</v>
      </c>
      <c r="B49" s="343">
        <v>38015</v>
      </c>
      <c r="C49" s="348">
        <v>40325</v>
      </c>
      <c r="D49" s="344">
        <f t="shared" si="10"/>
        <v>335</v>
      </c>
      <c r="E49" s="344">
        <f t="shared" si="2"/>
        <v>44786.09625668449</v>
      </c>
      <c r="F49" s="345">
        <v>0.035500000000000004</v>
      </c>
      <c r="G49" s="346">
        <f t="shared" si="9"/>
        <v>1589.9064171122996</v>
      </c>
      <c r="H49" s="346">
        <f t="shared" si="0"/>
        <v>953.9438502673797</v>
      </c>
    </row>
    <row r="50" spans="1:8" s="347" customFormat="1" ht="12.75">
      <c r="A50" s="372">
        <v>38018</v>
      </c>
      <c r="B50" s="343">
        <v>38042</v>
      </c>
      <c r="C50" s="348">
        <v>40608</v>
      </c>
      <c r="D50" s="344">
        <f t="shared" si="10"/>
        <v>283</v>
      </c>
      <c r="E50" s="344">
        <f aca="true" t="shared" si="11" ref="E50:E55">D50*1000/7.48</f>
        <v>37834.22459893048</v>
      </c>
      <c r="F50" s="345">
        <v>0.035500000000000004</v>
      </c>
      <c r="G50" s="346">
        <f t="shared" si="9"/>
        <v>1343.1149732620322</v>
      </c>
      <c r="H50" s="346">
        <f t="shared" si="0"/>
        <v>805.8689839572193</v>
      </c>
    </row>
    <row r="51" spans="1:8" s="347" customFormat="1" ht="12.75">
      <c r="A51" s="372">
        <v>38047</v>
      </c>
      <c r="B51" s="343">
        <v>38069</v>
      </c>
      <c r="C51" s="348">
        <v>40913</v>
      </c>
      <c r="D51" s="344">
        <f t="shared" si="10"/>
        <v>305</v>
      </c>
      <c r="E51" s="344">
        <f t="shared" si="11"/>
        <v>40775.40106951872</v>
      </c>
      <c r="F51" s="345">
        <v>0.035500000000000004</v>
      </c>
      <c r="G51" s="346">
        <f t="shared" si="9"/>
        <v>1447.5267379679146</v>
      </c>
      <c r="H51" s="346">
        <f t="shared" si="0"/>
        <v>868.5160427807488</v>
      </c>
    </row>
    <row r="52" spans="1:8" s="347" customFormat="1" ht="12.75">
      <c r="A52" s="372">
        <v>38078</v>
      </c>
      <c r="B52" s="343">
        <v>38104</v>
      </c>
      <c r="C52" s="348">
        <v>41356</v>
      </c>
      <c r="D52" s="344">
        <f t="shared" si="10"/>
        <v>443</v>
      </c>
      <c r="E52" s="344">
        <f t="shared" si="11"/>
        <v>59224.59893048128</v>
      </c>
      <c r="F52" s="345">
        <v>0.035500000000000004</v>
      </c>
      <c r="G52" s="346">
        <f t="shared" si="9"/>
        <v>2102.4732620320856</v>
      </c>
      <c r="H52" s="346">
        <f t="shared" si="0"/>
        <v>1261.4839572192514</v>
      </c>
    </row>
    <row r="53" spans="1:10" s="347" customFormat="1" ht="12.75">
      <c r="A53" s="372">
        <v>38108</v>
      </c>
      <c r="B53" s="343">
        <v>38133</v>
      </c>
      <c r="C53" s="348">
        <v>41804</v>
      </c>
      <c r="D53" s="344">
        <f t="shared" si="10"/>
        <v>448</v>
      </c>
      <c r="E53" s="344">
        <f t="shared" si="11"/>
        <v>59893.04812834224</v>
      </c>
      <c r="F53" s="345">
        <v>0.035500000000000004</v>
      </c>
      <c r="G53" s="346">
        <f t="shared" si="9"/>
        <v>2126.20320855615</v>
      </c>
      <c r="H53" s="346">
        <f t="shared" si="0"/>
        <v>1275.7219251336899</v>
      </c>
      <c r="I53" s="188" t="s">
        <v>41</v>
      </c>
      <c r="J53" s="147" t="s">
        <v>8</v>
      </c>
    </row>
    <row r="54" spans="1:10" s="347" customFormat="1" ht="13.5" thickBot="1">
      <c r="A54" s="373">
        <v>38139</v>
      </c>
      <c r="B54" s="349">
        <v>38161</v>
      </c>
      <c r="C54" s="350">
        <v>42394</v>
      </c>
      <c r="D54" s="351">
        <f>C54-C53</f>
        <v>590</v>
      </c>
      <c r="E54" s="351">
        <f t="shared" si="11"/>
        <v>78877.00534759359</v>
      </c>
      <c r="F54" s="352">
        <v>0.035500000000000004</v>
      </c>
      <c r="G54" s="353">
        <f t="shared" si="9"/>
        <v>2800.1336898395725</v>
      </c>
      <c r="H54" s="353">
        <f t="shared" si="0"/>
        <v>1680.0802139037435</v>
      </c>
      <c r="I54" s="450">
        <f>SUM(E43:E54)</f>
        <v>979144.3850267379</v>
      </c>
      <c r="J54" s="449">
        <f>SUM(H43:H54)</f>
        <v>20855.77540106952</v>
      </c>
    </row>
    <row r="55" spans="1:10" s="281" customFormat="1" ht="12.75">
      <c r="A55" s="416">
        <v>38195</v>
      </c>
      <c r="B55" s="417">
        <v>38195</v>
      </c>
      <c r="C55" s="418">
        <v>43527</v>
      </c>
      <c r="D55" s="419">
        <f aca="true" t="shared" si="12" ref="D55:D65">IF(C55="",0,C55-C54)</f>
        <v>1133</v>
      </c>
      <c r="E55" s="419">
        <f t="shared" si="11"/>
        <v>151470.5882352941</v>
      </c>
      <c r="F55" s="420">
        <v>0.035500000000000004</v>
      </c>
      <c r="G55" s="421">
        <f>E55*F55</f>
        <v>5377.205882352941</v>
      </c>
      <c r="H55" s="421">
        <f>G55*0.6</f>
        <v>3226.323529411765</v>
      </c>
      <c r="I55" s="273"/>
      <c r="J55" s="154"/>
    </row>
    <row r="56" spans="1:8" ht="12.75">
      <c r="A56" s="422">
        <v>38200</v>
      </c>
      <c r="B56" s="423">
        <v>38229</v>
      </c>
      <c r="C56" s="424">
        <v>45353</v>
      </c>
      <c r="D56" s="425">
        <f t="shared" si="12"/>
        <v>1826</v>
      </c>
      <c r="E56" s="425">
        <f aca="true" t="shared" si="13" ref="E56:E66">D56*1000/7.48</f>
        <v>244117.64705882352</v>
      </c>
      <c r="F56" s="426">
        <v>0.035500000000000004</v>
      </c>
      <c r="G56" s="427">
        <f aca="true" t="shared" si="14" ref="G56:G66">E56*F56</f>
        <v>8666.176470588236</v>
      </c>
      <c r="H56" s="427">
        <f aca="true" t="shared" si="15" ref="H56:H66">G56*0.6</f>
        <v>5199.705882352941</v>
      </c>
    </row>
    <row r="57" spans="1:8" ht="12.75">
      <c r="A57" s="422">
        <v>38231</v>
      </c>
      <c r="B57" s="423">
        <v>38257</v>
      </c>
      <c r="C57" s="424">
        <v>46294</v>
      </c>
      <c r="D57" s="425">
        <f t="shared" si="12"/>
        <v>941</v>
      </c>
      <c r="E57" s="425">
        <f t="shared" si="13"/>
        <v>125802.13903743315</v>
      </c>
      <c r="F57" s="426">
        <v>0.035500000000000004</v>
      </c>
      <c r="G57" s="427">
        <f t="shared" si="14"/>
        <v>4465.9759358288775</v>
      </c>
      <c r="H57" s="427">
        <f t="shared" si="15"/>
        <v>2679.5855614973266</v>
      </c>
    </row>
    <row r="58" spans="1:8" ht="12.75">
      <c r="A58" s="422">
        <v>38261</v>
      </c>
      <c r="B58" s="423">
        <v>38288</v>
      </c>
      <c r="C58" s="424">
        <v>47087</v>
      </c>
      <c r="D58" s="425">
        <f t="shared" si="12"/>
        <v>793</v>
      </c>
      <c r="E58" s="425">
        <f t="shared" si="13"/>
        <v>106016.04278074866</v>
      </c>
      <c r="F58" s="426">
        <v>0.035500000000000004</v>
      </c>
      <c r="G58" s="427">
        <f t="shared" si="14"/>
        <v>3763.5695187165775</v>
      </c>
      <c r="H58" s="427">
        <f t="shared" si="15"/>
        <v>2258.1417112299464</v>
      </c>
    </row>
    <row r="59" spans="1:8" ht="12.75">
      <c r="A59" s="422">
        <v>38292</v>
      </c>
      <c r="B59" s="423">
        <v>38320</v>
      </c>
      <c r="C59" s="424">
        <v>47498</v>
      </c>
      <c r="D59" s="425">
        <f t="shared" si="12"/>
        <v>411</v>
      </c>
      <c r="E59" s="425">
        <f t="shared" si="13"/>
        <v>54946.52406417112</v>
      </c>
      <c r="F59" s="426">
        <v>0.035500000000000004</v>
      </c>
      <c r="G59" s="427">
        <f t="shared" si="14"/>
        <v>1950.601604278075</v>
      </c>
      <c r="H59" s="427">
        <f t="shared" si="15"/>
        <v>1170.360962566845</v>
      </c>
    </row>
    <row r="60" spans="1:8" s="129" customFormat="1" ht="12.75">
      <c r="A60" s="422">
        <v>38322</v>
      </c>
      <c r="B60" s="246">
        <v>38355</v>
      </c>
      <c r="C60" s="278">
        <v>47744</v>
      </c>
      <c r="D60" s="279">
        <f t="shared" si="12"/>
        <v>246</v>
      </c>
      <c r="E60" s="279">
        <f t="shared" si="13"/>
        <v>32887.70053475936</v>
      </c>
      <c r="F60" s="428">
        <v>0.035500000000000004</v>
      </c>
      <c r="G60" s="250">
        <f t="shared" si="14"/>
        <v>1167.5133689839574</v>
      </c>
      <c r="H60" s="250">
        <f t="shared" si="15"/>
        <v>700.5080213903744</v>
      </c>
    </row>
    <row r="61" spans="1:8" s="129" customFormat="1" ht="12.75">
      <c r="A61" s="422">
        <v>38353</v>
      </c>
      <c r="B61" s="246">
        <v>38383</v>
      </c>
      <c r="C61" s="278">
        <v>48065</v>
      </c>
      <c r="D61" s="279">
        <f t="shared" si="12"/>
        <v>321</v>
      </c>
      <c r="E61" s="279">
        <f t="shared" si="13"/>
        <v>42914.438502673795</v>
      </c>
      <c r="F61" s="428">
        <v>0.035500000000000004</v>
      </c>
      <c r="G61" s="250">
        <f t="shared" si="14"/>
        <v>1523.4625668449198</v>
      </c>
      <c r="H61" s="250">
        <f t="shared" si="15"/>
        <v>914.0775401069519</v>
      </c>
    </row>
    <row r="62" spans="1:8" s="129" customFormat="1" ht="12.75">
      <c r="A62" s="422">
        <v>38384</v>
      </c>
      <c r="B62" s="246">
        <v>38411</v>
      </c>
      <c r="C62" s="278">
        <v>48374</v>
      </c>
      <c r="D62" s="279">
        <f t="shared" si="12"/>
        <v>309</v>
      </c>
      <c r="E62" s="279">
        <f t="shared" si="13"/>
        <v>41310.16042780748</v>
      </c>
      <c r="F62" s="428">
        <v>0.035500000000000004</v>
      </c>
      <c r="G62" s="250">
        <f t="shared" si="14"/>
        <v>1466.5106951871658</v>
      </c>
      <c r="H62" s="250">
        <f t="shared" si="15"/>
        <v>879.9064171122994</v>
      </c>
    </row>
    <row r="63" spans="1:8" s="129" customFormat="1" ht="12.75">
      <c r="A63" s="422">
        <v>38412</v>
      </c>
      <c r="B63" s="246">
        <v>38433</v>
      </c>
      <c r="C63" s="278">
        <v>48568</v>
      </c>
      <c r="D63" s="279">
        <f t="shared" si="12"/>
        <v>194</v>
      </c>
      <c r="E63" s="279">
        <f t="shared" si="13"/>
        <v>25935.828877005348</v>
      </c>
      <c r="F63" s="428">
        <v>0.035500000000000004</v>
      </c>
      <c r="G63" s="250">
        <f t="shared" si="14"/>
        <v>920.72192513369</v>
      </c>
      <c r="H63" s="250">
        <f t="shared" si="15"/>
        <v>552.433155080214</v>
      </c>
    </row>
    <row r="64" spans="1:10" s="129" customFormat="1" ht="12.75">
      <c r="A64" s="429">
        <v>38443</v>
      </c>
      <c r="B64" s="246">
        <v>38468</v>
      </c>
      <c r="C64" s="278">
        <v>48935</v>
      </c>
      <c r="D64" s="279">
        <f t="shared" si="12"/>
        <v>367</v>
      </c>
      <c r="E64" s="279">
        <f t="shared" si="13"/>
        <v>49064.17112299465</v>
      </c>
      <c r="F64" s="428">
        <v>0.035500000000000004</v>
      </c>
      <c r="G64" s="250">
        <f t="shared" si="14"/>
        <v>1741.7780748663104</v>
      </c>
      <c r="H64" s="250">
        <f t="shared" si="15"/>
        <v>1045.0668449197863</v>
      </c>
      <c r="I64" s="329"/>
      <c r="J64" s="329"/>
    </row>
    <row r="65" spans="1:10" s="129" customFormat="1" ht="12.75">
      <c r="A65" s="429">
        <v>38473</v>
      </c>
      <c r="B65" s="246">
        <v>38498</v>
      </c>
      <c r="C65" s="278">
        <v>49262</v>
      </c>
      <c r="D65" s="279">
        <f t="shared" si="12"/>
        <v>327</v>
      </c>
      <c r="E65" s="279">
        <f t="shared" si="13"/>
        <v>43716.57754010695</v>
      </c>
      <c r="F65" s="428">
        <v>0.035500000000000004</v>
      </c>
      <c r="G65" s="250">
        <f t="shared" si="14"/>
        <v>1551.9385026737968</v>
      </c>
      <c r="H65" s="250">
        <f t="shared" si="15"/>
        <v>931.163101604278</v>
      </c>
      <c r="I65" s="188" t="s">
        <v>41</v>
      </c>
      <c r="J65" s="147" t="s">
        <v>8</v>
      </c>
    </row>
    <row r="66" spans="1:10" s="329" customFormat="1" ht="13.5" thickBot="1">
      <c r="A66" s="430">
        <v>38504</v>
      </c>
      <c r="B66" s="431">
        <v>38530</v>
      </c>
      <c r="C66" s="174">
        <v>50064</v>
      </c>
      <c r="D66" s="201">
        <f>IF(C66="","",C66-C65)</f>
        <v>802</v>
      </c>
      <c r="E66" s="201">
        <f t="shared" si="13"/>
        <v>107219.2513368984</v>
      </c>
      <c r="F66" s="432">
        <v>0.035500000000000004</v>
      </c>
      <c r="G66" s="203">
        <f t="shared" si="14"/>
        <v>3806.2834224598932</v>
      </c>
      <c r="H66" s="203">
        <f t="shared" si="15"/>
        <v>2283.770053475936</v>
      </c>
      <c r="I66" s="450">
        <f>SUM(E55:E66)</f>
        <v>1025401.0695187164</v>
      </c>
      <c r="J66" s="449">
        <f>SUM(H55:H66)</f>
        <v>21841.042780748663</v>
      </c>
    </row>
    <row r="67" spans="1:8" s="147" customFormat="1" ht="12.75">
      <c r="A67" s="149">
        <v>38534</v>
      </c>
      <c r="B67" s="113">
        <v>38561</v>
      </c>
      <c r="C67" s="192">
        <v>51141</v>
      </c>
      <c r="D67" s="192">
        <f>IF(C67="","",C67-C66)</f>
        <v>1077</v>
      </c>
      <c r="E67" s="192">
        <f>IF(D67="","",D67*1000/7.48)</f>
        <v>143983.95721925132</v>
      </c>
      <c r="F67" s="341">
        <v>0.035500000000000004</v>
      </c>
      <c r="G67" s="195">
        <f>IF(D67="","",E67*F67)</f>
        <v>5111.4304812834225</v>
      </c>
      <c r="H67" s="195">
        <f>IF(D67="","",G67*0.6)</f>
        <v>3066.8582887700536</v>
      </c>
    </row>
    <row r="68" spans="1:8" s="147" customFormat="1" ht="12.75">
      <c r="A68" s="196">
        <v>38565</v>
      </c>
      <c r="B68" s="168">
        <v>38593</v>
      </c>
      <c r="C68" s="197">
        <v>52301</v>
      </c>
      <c r="D68" s="197">
        <f>IF(C68="","",C68-C67)</f>
        <v>1160</v>
      </c>
      <c r="E68" s="197">
        <f aca="true" t="shared" si="16" ref="E68:E114">IF(D68="","",D68*1000/7.48)</f>
        <v>155080.2139037433</v>
      </c>
      <c r="F68" s="342">
        <v>0.035500000000000004</v>
      </c>
      <c r="G68" s="199">
        <f>IF(D68="","",E68*F68)</f>
        <v>5505.347593582888</v>
      </c>
      <c r="H68" s="199">
        <f>IF(D68="","",G68*0.6)</f>
        <v>3303.208556149733</v>
      </c>
    </row>
    <row r="69" spans="1:8" s="147" customFormat="1" ht="12.75">
      <c r="A69" s="196">
        <v>38596</v>
      </c>
      <c r="B69" s="168">
        <v>38623</v>
      </c>
      <c r="C69" s="197">
        <v>53501</v>
      </c>
      <c r="D69" s="197">
        <f>IF(C69="","",C69-C68)</f>
        <v>1200</v>
      </c>
      <c r="E69" s="197">
        <f t="shared" si="16"/>
        <v>160427.807486631</v>
      </c>
      <c r="F69" s="342">
        <v>0.035500000000000004</v>
      </c>
      <c r="G69" s="199">
        <f>IF(D69="","",E69*F69)</f>
        <v>5695.187165775401</v>
      </c>
      <c r="H69" s="199">
        <f>IF(D69="","",G69*0.6)</f>
        <v>3417.1122994652405</v>
      </c>
    </row>
    <row r="70" spans="1:8" s="147" customFormat="1" ht="12.75">
      <c r="A70" s="360">
        <v>38626</v>
      </c>
      <c r="B70" s="168">
        <v>38652</v>
      </c>
      <c r="C70" s="197">
        <v>54081</v>
      </c>
      <c r="D70" s="197">
        <f aca="true" t="shared" si="17" ref="D70:D78">IF(C70="","",C70-C69)</f>
        <v>580</v>
      </c>
      <c r="E70" s="197">
        <f t="shared" si="16"/>
        <v>77540.10695187165</v>
      </c>
      <c r="F70" s="342">
        <v>0.035500000000000004</v>
      </c>
      <c r="G70" s="410">
        <f>IF(E70="","",E70*F70)</f>
        <v>2752.673796791444</v>
      </c>
      <c r="H70" s="199">
        <f>IF(G70="","",G70*0.6)</f>
        <v>1651.6042780748664</v>
      </c>
    </row>
    <row r="71" spans="1:8" s="147" customFormat="1" ht="12.75">
      <c r="A71" s="360">
        <v>38657</v>
      </c>
      <c r="B71" s="168">
        <v>38679</v>
      </c>
      <c r="C71" s="197">
        <v>54411</v>
      </c>
      <c r="D71" s="197">
        <f t="shared" si="17"/>
        <v>330</v>
      </c>
      <c r="E71" s="197">
        <f t="shared" si="16"/>
        <v>44117.647058823524</v>
      </c>
      <c r="F71" s="342">
        <v>0.035500000000000004</v>
      </c>
      <c r="G71" s="410">
        <f aca="true" t="shared" si="18" ref="G71:G102">IF(E71="","",E71*F71)</f>
        <v>1566.1764705882354</v>
      </c>
      <c r="H71" s="199">
        <f aca="true" t="shared" si="19" ref="H71:H78">IF(G71="","",G71*0.6)</f>
        <v>939.7058823529412</v>
      </c>
    </row>
    <row r="72" spans="1:8" s="147" customFormat="1" ht="12.75">
      <c r="A72" s="360">
        <v>38687</v>
      </c>
      <c r="B72" s="168">
        <v>38701</v>
      </c>
      <c r="C72" s="197">
        <v>54599</v>
      </c>
      <c r="D72" s="197">
        <f t="shared" si="17"/>
        <v>188</v>
      </c>
      <c r="E72" s="197">
        <f t="shared" si="16"/>
        <v>25133.68983957219</v>
      </c>
      <c r="F72" s="342">
        <v>0.035500000000000004</v>
      </c>
      <c r="G72" s="410">
        <f t="shared" si="18"/>
        <v>892.2459893048128</v>
      </c>
      <c r="H72" s="199">
        <f t="shared" si="19"/>
        <v>535.3475935828877</v>
      </c>
    </row>
    <row r="73" spans="1:8" s="147" customFormat="1" ht="12.75">
      <c r="A73" s="360">
        <v>38718</v>
      </c>
      <c r="B73" s="168">
        <v>38736</v>
      </c>
      <c r="C73" s="169">
        <v>54892</v>
      </c>
      <c r="D73" s="197">
        <f t="shared" si="17"/>
        <v>293</v>
      </c>
      <c r="E73" s="197">
        <f t="shared" si="16"/>
        <v>39171.1229946524</v>
      </c>
      <c r="F73" s="342">
        <v>0.035500000000000004</v>
      </c>
      <c r="G73" s="410">
        <f t="shared" si="18"/>
        <v>1390.5748663101606</v>
      </c>
      <c r="H73" s="199">
        <f t="shared" si="19"/>
        <v>834.3449197860963</v>
      </c>
    </row>
    <row r="74" spans="1:8" s="147" customFormat="1" ht="12.75">
      <c r="A74" s="360">
        <v>38749</v>
      </c>
      <c r="B74" s="168">
        <v>38764</v>
      </c>
      <c r="C74" s="169">
        <v>55196</v>
      </c>
      <c r="D74" s="197">
        <f t="shared" si="17"/>
        <v>304</v>
      </c>
      <c r="E74" s="197">
        <f t="shared" si="16"/>
        <v>40641.71122994652</v>
      </c>
      <c r="F74" s="342">
        <v>0.035500000000000004</v>
      </c>
      <c r="G74" s="410">
        <f t="shared" si="18"/>
        <v>1442.7807486631018</v>
      </c>
      <c r="H74" s="199">
        <f t="shared" si="19"/>
        <v>865.668449197861</v>
      </c>
    </row>
    <row r="75" spans="1:8" s="147" customFormat="1" ht="12.75">
      <c r="A75" s="360">
        <v>38777</v>
      </c>
      <c r="B75" s="168">
        <v>38791</v>
      </c>
      <c r="C75" s="169">
        <v>55434</v>
      </c>
      <c r="D75" s="197">
        <f t="shared" si="17"/>
        <v>238</v>
      </c>
      <c r="E75" s="197">
        <f t="shared" si="16"/>
        <v>31818.181818181816</v>
      </c>
      <c r="F75" s="342">
        <v>0.035500000000000004</v>
      </c>
      <c r="G75" s="410">
        <f t="shared" si="18"/>
        <v>1129.5454545454545</v>
      </c>
      <c r="H75" s="199">
        <f t="shared" si="19"/>
        <v>677.7272727272726</v>
      </c>
    </row>
    <row r="76" spans="1:8" s="147" customFormat="1" ht="12.75">
      <c r="A76" s="360">
        <v>38808</v>
      </c>
      <c r="B76" s="168">
        <v>38824</v>
      </c>
      <c r="C76" s="169">
        <v>55698</v>
      </c>
      <c r="D76" s="197">
        <f t="shared" si="17"/>
        <v>264</v>
      </c>
      <c r="E76" s="197">
        <f t="shared" si="16"/>
        <v>35294.11764705882</v>
      </c>
      <c r="F76" s="342">
        <v>0.035500000000000004</v>
      </c>
      <c r="G76" s="412">
        <f t="shared" si="18"/>
        <v>1252.941176470588</v>
      </c>
      <c r="H76" s="250">
        <f t="shared" si="19"/>
        <v>751.7647058823528</v>
      </c>
    </row>
    <row r="77" spans="1:10" s="147" customFormat="1" ht="12.75">
      <c r="A77" s="360">
        <v>38838</v>
      </c>
      <c r="B77" s="168">
        <v>38856</v>
      </c>
      <c r="C77" s="169">
        <v>56076</v>
      </c>
      <c r="D77" s="197">
        <f t="shared" si="17"/>
        <v>378</v>
      </c>
      <c r="E77" s="197">
        <f t="shared" si="16"/>
        <v>50534.759358288764</v>
      </c>
      <c r="F77" s="342">
        <v>0.035500000000000004</v>
      </c>
      <c r="G77" s="455">
        <f t="shared" si="18"/>
        <v>1793.9839572192514</v>
      </c>
      <c r="H77" s="199">
        <f t="shared" si="19"/>
        <v>1076.3903743315507</v>
      </c>
      <c r="I77" s="188" t="s">
        <v>41</v>
      </c>
      <c r="J77" s="147" t="s">
        <v>8</v>
      </c>
    </row>
    <row r="78" spans="1:10" s="147" customFormat="1" ht="13.5" thickBot="1">
      <c r="A78" s="456">
        <v>38869</v>
      </c>
      <c r="B78" s="457">
        <v>38882</v>
      </c>
      <c r="C78" s="458">
        <v>56799</v>
      </c>
      <c r="D78" s="175">
        <f t="shared" si="17"/>
        <v>723</v>
      </c>
      <c r="E78" s="175">
        <f t="shared" si="16"/>
        <v>96657.75401069518</v>
      </c>
      <c r="F78" s="452">
        <v>0.035500000000000004</v>
      </c>
      <c r="G78" s="453">
        <f t="shared" si="18"/>
        <v>3431.3502673796793</v>
      </c>
      <c r="H78" s="454">
        <f t="shared" si="19"/>
        <v>2058.8101604278077</v>
      </c>
      <c r="I78" s="450">
        <f>SUM(E67:E78)</f>
        <v>900401.0695187163</v>
      </c>
      <c r="J78" s="449">
        <f>SUM(H67:H78)</f>
        <v>19178.542780748663</v>
      </c>
    </row>
    <row r="79" spans="1:10" s="147" customFormat="1" ht="12.75">
      <c r="A79" s="149">
        <v>38899</v>
      </c>
      <c r="B79" s="113">
        <v>38915</v>
      </c>
      <c r="C79" s="192">
        <v>57967</v>
      </c>
      <c r="D79" s="192">
        <f aca="true" t="shared" si="20" ref="D79:D90">IF(C79="","",C79-C78)</f>
        <v>1168</v>
      </c>
      <c r="E79" s="192">
        <f>IF(D79="","",D79*1000/7.48)</f>
        <v>156149.73262032084</v>
      </c>
      <c r="F79" s="341">
        <v>0.035500000000000004</v>
      </c>
      <c r="G79" s="195">
        <f t="shared" si="18"/>
        <v>5543.31550802139</v>
      </c>
      <c r="H79" s="195">
        <f>IF(E79="","",G79*0.6)</f>
        <v>3325.989304812834</v>
      </c>
      <c r="I79" s="450"/>
      <c r="J79" s="17"/>
    </row>
    <row r="80" spans="1:9" s="147" customFormat="1" ht="12.75">
      <c r="A80" s="196">
        <v>38930</v>
      </c>
      <c r="B80" s="168">
        <v>38944</v>
      </c>
      <c r="C80" s="197">
        <v>58915</v>
      </c>
      <c r="D80" s="197">
        <f t="shared" si="20"/>
        <v>948</v>
      </c>
      <c r="E80" s="197">
        <f t="shared" si="16"/>
        <v>126737.9679144385</v>
      </c>
      <c r="F80" s="342">
        <v>0.035500000000000004</v>
      </c>
      <c r="G80" s="199">
        <f t="shared" si="18"/>
        <v>4499.197860962568</v>
      </c>
      <c r="H80" s="199">
        <f aca="true" t="shared" si="21" ref="H80:H102">IF(E80="","",G80*0.6)</f>
        <v>2699.5187165775405</v>
      </c>
      <c r="I80" s="450"/>
    </row>
    <row r="81" spans="1:10" s="147" customFormat="1" ht="12.75">
      <c r="A81" s="196">
        <v>38961</v>
      </c>
      <c r="B81" s="168">
        <v>38975</v>
      </c>
      <c r="C81" s="197">
        <v>59739</v>
      </c>
      <c r="D81" s="197">
        <f t="shared" si="20"/>
        <v>824</v>
      </c>
      <c r="E81" s="197">
        <f t="shared" si="16"/>
        <v>110160.42780748663</v>
      </c>
      <c r="F81" s="342">
        <v>0.035500000000000004</v>
      </c>
      <c r="G81" s="199">
        <f t="shared" si="18"/>
        <v>3910.6951871657757</v>
      </c>
      <c r="H81" s="199">
        <f t="shared" si="21"/>
        <v>2346.4171122994653</v>
      </c>
      <c r="I81" s="450"/>
      <c r="J81" s="97"/>
    </row>
    <row r="82" spans="1:9" s="147" customFormat="1" ht="12.75">
      <c r="A82" s="360">
        <v>38991</v>
      </c>
      <c r="B82" s="168">
        <v>39003</v>
      </c>
      <c r="C82" s="197">
        <v>60184</v>
      </c>
      <c r="D82" s="197">
        <f t="shared" si="20"/>
        <v>445</v>
      </c>
      <c r="E82" s="197">
        <f t="shared" si="16"/>
        <v>59491.978609625665</v>
      </c>
      <c r="F82" s="342">
        <v>0.035500000000000004</v>
      </c>
      <c r="G82" s="410">
        <f t="shared" si="18"/>
        <v>2111.9652406417113</v>
      </c>
      <c r="H82" s="199">
        <f t="shared" si="21"/>
        <v>1267.1791443850268</v>
      </c>
      <c r="I82" s="450"/>
    </row>
    <row r="83" spans="1:9" s="147" customFormat="1" ht="12.75">
      <c r="A83" s="360">
        <v>39022</v>
      </c>
      <c r="B83" s="168">
        <v>39036</v>
      </c>
      <c r="C83" s="197">
        <v>60584</v>
      </c>
      <c r="D83" s="197">
        <f t="shared" si="20"/>
        <v>400</v>
      </c>
      <c r="E83" s="197">
        <f t="shared" si="16"/>
        <v>53475.935828877</v>
      </c>
      <c r="F83" s="342">
        <v>0.035500000000000004</v>
      </c>
      <c r="G83" s="410">
        <f t="shared" si="18"/>
        <v>1898.3957219251338</v>
      </c>
      <c r="H83" s="199">
        <f t="shared" si="21"/>
        <v>1139.0374331550802</v>
      </c>
      <c r="I83" s="450"/>
    </row>
    <row r="84" spans="1:9" s="147" customFormat="1" ht="12.75">
      <c r="A84" s="360">
        <v>39052</v>
      </c>
      <c r="B84" s="168">
        <v>39065</v>
      </c>
      <c r="C84" s="197">
        <v>60842</v>
      </c>
      <c r="D84" s="197">
        <f t="shared" si="20"/>
        <v>258</v>
      </c>
      <c r="E84" s="197">
        <f t="shared" si="16"/>
        <v>34491.978609625665</v>
      </c>
      <c r="F84" s="342">
        <v>0.035500000000000004</v>
      </c>
      <c r="G84" s="410">
        <f t="shared" si="18"/>
        <v>1224.4652406417113</v>
      </c>
      <c r="H84" s="199">
        <f t="shared" si="21"/>
        <v>734.6791443850267</v>
      </c>
      <c r="I84" s="450"/>
    </row>
    <row r="85" spans="1:9" s="147" customFormat="1" ht="12.75">
      <c r="A85" s="360">
        <v>39083</v>
      </c>
      <c r="B85" s="168">
        <v>39097</v>
      </c>
      <c r="C85" s="169">
        <v>61096</v>
      </c>
      <c r="D85" s="197">
        <f t="shared" si="20"/>
        <v>254</v>
      </c>
      <c r="E85" s="197">
        <f t="shared" si="16"/>
        <v>33957.219251336894</v>
      </c>
      <c r="F85" s="342">
        <v>0.035500000000000004</v>
      </c>
      <c r="G85" s="410">
        <f t="shared" si="18"/>
        <v>1205.48128342246</v>
      </c>
      <c r="H85" s="199">
        <f t="shared" si="21"/>
        <v>723.2887700534759</v>
      </c>
      <c r="I85" s="450"/>
    </row>
    <row r="86" spans="1:9" s="147" customFormat="1" ht="12.75">
      <c r="A86" s="360">
        <v>39114</v>
      </c>
      <c r="B86" s="168">
        <v>39128</v>
      </c>
      <c r="C86" s="169">
        <v>61567</v>
      </c>
      <c r="D86" s="197">
        <f t="shared" si="20"/>
        <v>471</v>
      </c>
      <c r="E86" s="197">
        <f t="shared" si="16"/>
        <v>62967.91443850267</v>
      </c>
      <c r="F86" s="342">
        <v>0.035500000000000004</v>
      </c>
      <c r="G86" s="410">
        <f t="shared" si="18"/>
        <v>2235.360962566845</v>
      </c>
      <c r="H86" s="199">
        <f t="shared" si="21"/>
        <v>1341.216577540107</v>
      </c>
      <c r="I86" s="451"/>
    </row>
    <row r="87" spans="1:9" s="147" customFormat="1" ht="12.75">
      <c r="A87" s="360">
        <v>39142</v>
      </c>
      <c r="B87" s="168">
        <v>39156</v>
      </c>
      <c r="C87" s="169">
        <v>61868</v>
      </c>
      <c r="D87" s="197">
        <f>IF(C87="","",C87-C86)</f>
        <v>301</v>
      </c>
      <c r="E87" s="197">
        <f t="shared" si="16"/>
        <v>40240.641711229946</v>
      </c>
      <c r="F87" s="342">
        <v>0.035500000000000004</v>
      </c>
      <c r="G87" s="410">
        <f t="shared" si="18"/>
        <v>1428.5427807486633</v>
      </c>
      <c r="H87" s="199">
        <f t="shared" si="21"/>
        <v>857.125668449198</v>
      </c>
      <c r="I87" s="451"/>
    </row>
    <row r="88" spans="1:9" s="147" customFormat="1" ht="12.75">
      <c r="A88" s="360">
        <v>39173</v>
      </c>
      <c r="B88" s="168">
        <v>39188</v>
      </c>
      <c r="C88" s="169">
        <v>62178</v>
      </c>
      <c r="D88" s="197">
        <f t="shared" si="20"/>
        <v>310</v>
      </c>
      <c r="E88" s="197">
        <f t="shared" si="16"/>
        <v>41443.850267379676</v>
      </c>
      <c r="F88" s="342">
        <v>0.035500000000000004</v>
      </c>
      <c r="G88" s="412">
        <f t="shared" si="18"/>
        <v>1471.2566844919786</v>
      </c>
      <c r="H88" s="250">
        <f t="shared" si="21"/>
        <v>882.7540106951872</v>
      </c>
      <c r="I88" s="451"/>
    </row>
    <row r="89" spans="1:10" s="147" customFormat="1" ht="12.75">
      <c r="A89" s="360">
        <v>39203</v>
      </c>
      <c r="B89" s="168">
        <v>39219</v>
      </c>
      <c r="C89" s="169">
        <v>62530</v>
      </c>
      <c r="D89" s="197">
        <f t="shared" si="20"/>
        <v>352</v>
      </c>
      <c r="E89" s="197">
        <f t="shared" si="16"/>
        <v>47058.82352941176</v>
      </c>
      <c r="F89" s="342">
        <v>0.035500000000000004</v>
      </c>
      <c r="G89" s="455">
        <f t="shared" si="18"/>
        <v>1670.5882352941178</v>
      </c>
      <c r="H89" s="199">
        <f t="shared" si="21"/>
        <v>1002.3529411764706</v>
      </c>
      <c r="I89" s="188" t="s">
        <v>41</v>
      </c>
      <c r="J89" s="147" t="s">
        <v>8</v>
      </c>
    </row>
    <row r="90" spans="1:10" s="147" customFormat="1" ht="13.5" thickBot="1">
      <c r="A90" s="456">
        <v>39234</v>
      </c>
      <c r="B90" s="173">
        <v>39246</v>
      </c>
      <c r="C90" s="458">
        <v>63212</v>
      </c>
      <c r="D90" s="175">
        <f t="shared" si="20"/>
        <v>682</v>
      </c>
      <c r="E90" s="175">
        <f t="shared" si="16"/>
        <v>91176.47058823529</v>
      </c>
      <c r="F90" s="452">
        <v>0.035500000000000004</v>
      </c>
      <c r="G90" s="453">
        <f t="shared" si="18"/>
        <v>3236.764705882353</v>
      </c>
      <c r="H90" s="454">
        <f t="shared" si="21"/>
        <v>1942.0588235294117</v>
      </c>
      <c r="I90" s="450">
        <f>SUM(E79:E90)</f>
        <v>857352.9411764705</v>
      </c>
      <c r="J90" s="449">
        <f>SUM(H79:H90)</f>
        <v>18261.61764705882</v>
      </c>
    </row>
    <row r="91" spans="1:9" s="147" customFormat="1" ht="12.75">
      <c r="A91" s="149">
        <v>39264</v>
      </c>
      <c r="B91" s="191">
        <v>39280</v>
      </c>
      <c r="C91" s="192">
        <v>64316</v>
      </c>
      <c r="D91" s="192">
        <f aca="true" t="shared" si="22" ref="D91:D98">IF(C91="","",C91-C90)</f>
        <v>1104</v>
      </c>
      <c r="E91" s="192">
        <f>IF(D91="","",D91*1000/7.48)</f>
        <v>147593.58288770053</v>
      </c>
      <c r="F91" s="341">
        <v>0.0366</v>
      </c>
      <c r="G91" s="195">
        <f t="shared" si="18"/>
        <v>5401.92513368984</v>
      </c>
      <c r="H91" s="195">
        <f t="shared" si="21"/>
        <v>3241.1550802139036</v>
      </c>
      <c r="I91" s="534">
        <f>(I90-I78)/I78</f>
        <v>-0.04780994803266501</v>
      </c>
    </row>
    <row r="92" spans="1:9" s="147" customFormat="1" ht="12.75">
      <c r="A92" s="196">
        <v>39295</v>
      </c>
      <c r="B92" s="168">
        <v>39309</v>
      </c>
      <c r="C92" s="197">
        <v>65169</v>
      </c>
      <c r="D92" s="197">
        <f t="shared" si="22"/>
        <v>853</v>
      </c>
      <c r="E92" s="197">
        <f t="shared" si="16"/>
        <v>114037.4331550802</v>
      </c>
      <c r="F92" s="342">
        <v>0.0366</v>
      </c>
      <c r="G92" s="199">
        <f t="shared" si="18"/>
        <v>4173.770053475935</v>
      </c>
      <c r="H92" s="199">
        <f t="shared" si="21"/>
        <v>2504.262032085561</v>
      </c>
      <c r="I92" s="450"/>
    </row>
    <row r="93" spans="1:10" s="147" customFormat="1" ht="12.75">
      <c r="A93" s="196">
        <v>39326</v>
      </c>
      <c r="B93" s="168">
        <v>39344</v>
      </c>
      <c r="C93" s="197">
        <v>66110</v>
      </c>
      <c r="D93" s="197">
        <f t="shared" si="22"/>
        <v>941</v>
      </c>
      <c r="E93" s="197">
        <f t="shared" si="16"/>
        <v>125802.13903743315</v>
      </c>
      <c r="F93" s="342">
        <v>0.0366</v>
      </c>
      <c r="G93" s="199">
        <f t="shared" si="18"/>
        <v>4604.358288770053</v>
      </c>
      <c r="H93" s="199">
        <f t="shared" si="21"/>
        <v>2762.614973262032</v>
      </c>
      <c r="I93" s="450"/>
      <c r="J93" s="97"/>
    </row>
    <row r="94" spans="1:9" s="147" customFormat="1" ht="12.75">
      <c r="A94" s="360">
        <v>39356</v>
      </c>
      <c r="B94" s="168">
        <v>39370</v>
      </c>
      <c r="C94" s="197">
        <v>66703</v>
      </c>
      <c r="D94" s="197">
        <f t="shared" si="22"/>
        <v>593</v>
      </c>
      <c r="E94" s="197">
        <f t="shared" si="16"/>
        <v>79278.07486631015</v>
      </c>
      <c r="F94" s="342">
        <v>0.0366</v>
      </c>
      <c r="G94" s="199">
        <f>IF(E94="","",E94*F94)</f>
        <v>2901.577540106952</v>
      </c>
      <c r="H94" s="199">
        <f>IF(E94="","",G94*0.6)</f>
        <v>1740.946524064171</v>
      </c>
      <c r="I94" s="450"/>
    </row>
    <row r="95" spans="1:9" s="147" customFormat="1" ht="12.75">
      <c r="A95" s="360">
        <v>39387</v>
      </c>
      <c r="B95" s="168">
        <v>39401</v>
      </c>
      <c r="C95" s="197">
        <v>67311</v>
      </c>
      <c r="D95" s="197">
        <f t="shared" si="22"/>
        <v>608</v>
      </c>
      <c r="E95" s="197">
        <f t="shared" si="16"/>
        <v>81283.42245989305</v>
      </c>
      <c r="F95" s="342">
        <v>0.0366</v>
      </c>
      <c r="G95" s="410">
        <f t="shared" si="18"/>
        <v>2974.9732620320856</v>
      </c>
      <c r="H95" s="199">
        <f t="shared" si="21"/>
        <v>1784.9839572192514</v>
      </c>
      <c r="I95" s="450"/>
    </row>
    <row r="96" spans="1:9" s="147" customFormat="1" ht="12.75">
      <c r="A96" s="360">
        <v>39417</v>
      </c>
      <c r="B96" s="168">
        <v>39430</v>
      </c>
      <c r="C96" s="197">
        <v>67646</v>
      </c>
      <c r="D96" s="197">
        <f t="shared" si="22"/>
        <v>335</v>
      </c>
      <c r="E96" s="197">
        <f t="shared" si="16"/>
        <v>44786.09625668449</v>
      </c>
      <c r="F96" s="342">
        <v>0.0366</v>
      </c>
      <c r="G96" s="410">
        <f t="shared" si="18"/>
        <v>1639.1711229946523</v>
      </c>
      <c r="H96" s="199">
        <f t="shared" si="21"/>
        <v>983.5026737967913</v>
      </c>
      <c r="I96" s="450"/>
    </row>
    <row r="97" spans="1:9" s="147" customFormat="1" ht="12.75">
      <c r="A97" s="360">
        <v>39448</v>
      </c>
      <c r="B97" s="168">
        <v>39461</v>
      </c>
      <c r="C97" s="197">
        <v>67911</v>
      </c>
      <c r="D97" s="197">
        <f t="shared" si="22"/>
        <v>265</v>
      </c>
      <c r="E97" s="197">
        <f t="shared" si="16"/>
        <v>35427.80748663101</v>
      </c>
      <c r="F97" s="342">
        <v>0.0366</v>
      </c>
      <c r="G97" s="410">
        <f>IF(E97="","",E97*F97)</f>
        <v>1296.657754010695</v>
      </c>
      <c r="H97" s="199">
        <f>IF(E97="","",G97*0.6)</f>
        <v>777.994652406417</v>
      </c>
      <c r="I97" s="450"/>
    </row>
    <row r="98" spans="1:9" s="147" customFormat="1" ht="12.75">
      <c r="A98" s="360">
        <v>39479</v>
      </c>
      <c r="B98" s="168">
        <v>39492</v>
      </c>
      <c r="C98" s="197">
        <v>68327</v>
      </c>
      <c r="D98" s="197">
        <f t="shared" si="22"/>
        <v>416</v>
      </c>
      <c r="E98" s="197">
        <f t="shared" si="16"/>
        <v>55614.97326203208</v>
      </c>
      <c r="F98" s="342">
        <v>0.0366</v>
      </c>
      <c r="G98" s="410">
        <f>IF(E98="","",E98*F98)</f>
        <v>2035.508021390374</v>
      </c>
      <c r="H98" s="199">
        <f>IF(E98="","",G98*0.6)</f>
        <v>1221.3048128342243</v>
      </c>
      <c r="I98" s="451"/>
    </row>
    <row r="99" spans="1:9" s="147" customFormat="1" ht="12.75">
      <c r="A99" s="360">
        <v>39508</v>
      </c>
      <c r="B99" s="168">
        <v>39524</v>
      </c>
      <c r="C99" s="169">
        <v>68702</v>
      </c>
      <c r="D99" s="197">
        <f>IF(C99="","",C99-C98)</f>
        <v>375</v>
      </c>
      <c r="E99" s="197">
        <f t="shared" si="16"/>
        <v>50133.68983957219</v>
      </c>
      <c r="F99" s="342">
        <v>0.0366</v>
      </c>
      <c r="G99" s="410">
        <f t="shared" si="18"/>
        <v>1834.8930481283421</v>
      </c>
      <c r="H99" s="199">
        <f t="shared" si="21"/>
        <v>1100.9358288770052</v>
      </c>
      <c r="I99" s="451"/>
    </row>
    <row r="100" spans="1:9" s="147" customFormat="1" ht="12.75">
      <c r="A100" s="360">
        <v>39539</v>
      </c>
      <c r="B100" s="168">
        <v>39553</v>
      </c>
      <c r="C100" s="169">
        <v>68989</v>
      </c>
      <c r="D100" s="197">
        <f>IF(C100="","",C100-C99)</f>
        <v>287</v>
      </c>
      <c r="E100" s="197">
        <f t="shared" si="16"/>
        <v>38368.98395721925</v>
      </c>
      <c r="F100" s="342">
        <v>0.0366</v>
      </c>
      <c r="G100" s="412">
        <f t="shared" si="18"/>
        <v>1404.3048128342245</v>
      </c>
      <c r="H100" s="250">
        <f t="shared" si="21"/>
        <v>842.5828877005347</v>
      </c>
      <c r="I100" s="451"/>
    </row>
    <row r="101" spans="1:10" s="147" customFormat="1" ht="12.75">
      <c r="A101" s="360">
        <v>39569</v>
      </c>
      <c r="B101" s="168">
        <v>39583</v>
      </c>
      <c r="C101" s="169">
        <v>69425</v>
      </c>
      <c r="D101" s="197">
        <f>IF(C101="","",C101-C100)</f>
        <v>436</v>
      </c>
      <c r="E101" s="197">
        <f t="shared" si="16"/>
        <v>58288.770053475935</v>
      </c>
      <c r="F101" s="342">
        <v>0.0366</v>
      </c>
      <c r="G101" s="455">
        <f t="shared" si="18"/>
        <v>2133.3689839572194</v>
      </c>
      <c r="H101" s="199">
        <f t="shared" si="21"/>
        <v>1280.0213903743315</v>
      </c>
      <c r="I101" s="188" t="s">
        <v>41</v>
      </c>
      <c r="J101" s="147" t="s">
        <v>8</v>
      </c>
    </row>
    <row r="102" spans="1:10" s="147" customFormat="1" ht="13.5" thickBot="1">
      <c r="A102" s="528">
        <v>39600</v>
      </c>
      <c r="B102" s="210">
        <v>39615</v>
      </c>
      <c r="C102" s="529">
        <v>70162</v>
      </c>
      <c r="D102" s="336">
        <f>IF(C102="","",C102-C101)</f>
        <v>737</v>
      </c>
      <c r="E102" s="279">
        <f t="shared" si="16"/>
        <v>98529.41176470587</v>
      </c>
      <c r="F102" s="428">
        <v>0.0366</v>
      </c>
      <c r="G102" s="530">
        <f t="shared" si="18"/>
        <v>3606.176470588235</v>
      </c>
      <c r="H102" s="531">
        <f t="shared" si="21"/>
        <v>2163.705882352941</v>
      </c>
      <c r="I102" s="450">
        <f>SUM(E91:E102)</f>
        <v>929144.3850267379</v>
      </c>
      <c r="J102" s="449">
        <f>SUM(H91:H102)</f>
        <v>20404.01069518716</v>
      </c>
    </row>
    <row r="103" spans="1:9" s="547" customFormat="1" ht="12.75">
      <c r="A103" s="538">
        <v>39630</v>
      </c>
      <c r="B103" s="540">
        <v>39645</v>
      </c>
      <c r="C103" s="608">
        <v>70868</v>
      </c>
      <c r="D103" s="608">
        <f aca="true" t="shared" si="23" ref="D103:D110">IF(C103="","",C103-C102)</f>
        <v>706</v>
      </c>
      <c r="E103" s="608">
        <f t="shared" si="16"/>
        <v>94385.02673796791</v>
      </c>
      <c r="F103" s="609">
        <v>0.039700000000000006</v>
      </c>
      <c r="G103" s="543">
        <f aca="true" t="shared" si="24" ref="G103:G114">IF(E103="","",E103*F103)</f>
        <v>3747.0855614973266</v>
      </c>
      <c r="H103" s="543">
        <f aca="true" t="shared" si="25" ref="H103:H114">IF(E103="","",G103*0.6)</f>
        <v>2248.251336898396</v>
      </c>
      <c r="I103" s="534">
        <f>(I102-I90)/I90</f>
        <v>0.08373616092312498</v>
      </c>
    </row>
    <row r="104" spans="1:9" s="547" customFormat="1" ht="12.75">
      <c r="A104" s="611">
        <v>39661</v>
      </c>
      <c r="B104" s="551">
        <v>39678</v>
      </c>
      <c r="C104" s="602">
        <v>71841</v>
      </c>
      <c r="D104" s="602">
        <f t="shared" si="23"/>
        <v>973</v>
      </c>
      <c r="E104" s="602">
        <f t="shared" si="16"/>
        <v>130080.21390374331</v>
      </c>
      <c r="F104" s="612">
        <v>0.039700000000000006</v>
      </c>
      <c r="G104" s="554">
        <f t="shared" si="24"/>
        <v>5164.18449197861</v>
      </c>
      <c r="H104" s="554">
        <f t="shared" si="25"/>
        <v>3098.5106951871658</v>
      </c>
      <c r="I104" s="610"/>
    </row>
    <row r="105" spans="1:10" s="547" customFormat="1" ht="12.75">
      <c r="A105" s="611">
        <v>39692</v>
      </c>
      <c r="B105" s="551">
        <v>39706</v>
      </c>
      <c r="C105" s="602">
        <v>73400</v>
      </c>
      <c r="D105" s="602">
        <f>IF(C105="","",C105-C104)</f>
        <v>1559</v>
      </c>
      <c r="E105" s="602">
        <f t="shared" si="16"/>
        <v>208422.45989304813</v>
      </c>
      <c r="F105" s="612">
        <v>0.039700000000000006</v>
      </c>
      <c r="G105" s="554">
        <f>IF(E105="","",E105*F105)</f>
        <v>8274.371657754013</v>
      </c>
      <c r="H105" s="554">
        <f>IF(E105="","",G105*0.6)</f>
        <v>4964.622994652407</v>
      </c>
      <c r="I105" s="610"/>
      <c r="J105" s="548"/>
    </row>
    <row r="106" spans="1:9" s="547" customFormat="1" ht="12.75">
      <c r="A106" s="549">
        <v>39722</v>
      </c>
      <c r="B106" s="551">
        <v>39736</v>
      </c>
      <c r="C106" s="602">
        <v>73994</v>
      </c>
      <c r="D106" s="602">
        <f>IF(C106="","",C106-C105)</f>
        <v>594</v>
      </c>
      <c r="E106" s="602">
        <f t="shared" si="16"/>
        <v>79411.76470588235</v>
      </c>
      <c r="F106" s="612">
        <v>0.039700000000000006</v>
      </c>
      <c r="G106" s="554">
        <f>IF(E106="","",E106*F106)</f>
        <v>3152.6470588235297</v>
      </c>
      <c r="H106" s="554">
        <f>IF(E106="","",G106*0.6)</f>
        <v>1891.5882352941178</v>
      </c>
      <c r="I106" s="610"/>
    </row>
    <row r="107" spans="1:9" s="547" customFormat="1" ht="12.75">
      <c r="A107" s="549">
        <v>39753</v>
      </c>
      <c r="B107" s="551">
        <v>39770</v>
      </c>
      <c r="C107" s="602">
        <v>74464</v>
      </c>
      <c r="D107" s="602">
        <f>IF(C107="","",C107-C106)</f>
        <v>470</v>
      </c>
      <c r="E107" s="602">
        <f t="shared" si="16"/>
        <v>62834.22459893048</v>
      </c>
      <c r="F107" s="612">
        <v>0.039700000000000006</v>
      </c>
      <c r="G107" s="554">
        <f>IF(E107="","",E107*F107)</f>
        <v>2494.5187165775405</v>
      </c>
      <c r="H107" s="554">
        <f>IF(E107="","",G107*0.6)</f>
        <v>1496.7112299465243</v>
      </c>
      <c r="I107" s="610"/>
    </row>
    <row r="108" spans="1:9" s="547" customFormat="1" ht="12.75">
      <c r="A108" s="549">
        <v>39783</v>
      </c>
      <c r="B108" s="551">
        <v>39797</v>
      </c>
      <c r="C108" s="602">
        <v>74743</v>
      </c>
      <c r="D108" s="602">
        <f>IF(C108="","",C108-C107)</f>
        <v>279</v>
      </c>
      <c r="E108" s="602">
        <f t="shared" si="16"/>
        <v>37299.46524064171</v>
      </c>
      <c r="F108" s="612">
        <v>0.039700000000000006</v>
      </c>
      <c r="G108" s="613">
        <f t="shared" si="24"/>
        <v>1480.7887700534761</v>
      </c>
      <c r="H108" s="554">
        <f t="shared" si="25"/>
        <v>888.4732620320857</v>
      </c>
      <c r="I108" s="610"/>
    </row>
    <row r="109" spans="1:9" s="547" customFormat="1" ht="12.75">
      <c r="A109" s="549">
        <v>39814</v>
      </c>
      <c r="B109" s="551">
        <v>39829</v>
      </c>
      <c r="C109" s="602">
        <v>75052</v>
      </c>
      <c r="D109" s="602">
        <f t="shared" si="23"/>
        <v>309</v>
      </c>
      <c r="E109" s="602">
        <f t="shared" si="16"/>
        <v>41310.16042780748</v>
      </c>
      <c r="F109" s="612">
        <v>0.039700000000000006</v>
      </c>
      <c r="G109" s="613">
        <f t="shared" si="24"/>
        <v>1640.0133689839572</v>
      </c>
      <c r="H109" s="554">
        <f t="shared" si="25"/>
        <v>984.0080213903743</v>
      </c>
      <c r="I109" s="610"/>
    </row>
    <row r="110" spans="1:9" s="547" customFormat="1" ht="12.75">
      <c r="A110" s="549">
        <v>39845</v>
      </c>
      <c r="B110" s="551">
        <v>39861</v>
      </c>
      <c r="C110" s="602">
        <v>75523</v>
      </c>
      <c r="D110" s="602">
        <f t="shared" si="23"/>
        <v>471</v>
      </c>
      <c r="E110" s="602">
        <f t="shared" si="16"/>
        <v>62967.91443850267</v>
      </c>
      <c r="F110" s="612">
        <v>0.039700000000000006</v>
      </c>
      <c r="G110" s="613">
        <f t="shared" si="24"/>
        <v>2499.8262032085563</v>
      </c>
      <c r="H110" s="554">
        <f t="shared" si="25"/>
        <v>1499.8957219251338</v>
      </c>
      <c r="I110" s="614"/>
    </row>
    <row r="111" spans="1:9" s="547" customFormat="1" ht="12.75">
      <c r="A111" s="549">
        <v>39873</v>
      </c>
      <c r="B111" s="551">
        <v>39889</v>
      </c>
      <c r="C111" s="552">
        <v>75882</v>
      </c>
      <c r="D111" s="602">
        <f aca="true" t="shared" si="26" ref="D111:D116">IF(C111="","",C111-C110)</f>
        <v>359</v>
      </c>
      <c r="E111" s="602">
        <f t="shared" si="16"/>
        <v>47994.65240641711</v>
      </c>
      <c r="F111" s="612">
        <v>0.039700000000000006</v>
      </c>
      <c r="G111" s="613">
        <f t="shared" si="24"/>
        <v>1905.3877005347595</v>
      </c>
      <c r="H111" s="554">
        <f t="shared" si="25"/>
        <v>1143.2326203208556</v>
      </c>
      <c r="I111" s="614"/>
    </row>
    <row r="112" spans="1:9" s="547" customFormat="1" ht="12.75">
      <c r="A112" s="549">
        <v>39904</v>
      </c>
      <c r="B112" s="551">
        <v>39923</v>
      </c>
      <c r="C112" s="557">
        <v>76311</v>
      </c>
      <c r="D112" s="602">
        <f t="shared" si="26"/>
        <v>429</v>
      </c>
      <c r="E112" s="602">
        <f t="shared" si="16"/>
        <v>57352.94117647059</v>
      </c>
      <c r="F112" s="612">
        <v>0.039700000000000006</v>
      </c>
      <c r="G112" s="615">
        <f t="shared" si="24"/>
        <v>2276.911764705883</v>
      </c>
      <c r="H112" s="616">
        <f t="shared" si="25"/>
        <v>1366.1470588235297</v>
      </c>
      <c r="I112" s="614"/>
    </row>
    <row r="113" spans="1:10" s="547" customFormat="1" ht="12.75">
      <c r="A113" s="549">
        <v>39934</v>
      </c>
      <c r="B113" s="551">
        <v>39948</v>
      </c>
      <c r="C113" s="557">
        <v>76655</v>
      </c>
      <c r="D113" s="602">
        <f t="shared" si="26"/>
        <v>344</v>
      </c>
      <c r="E113" s="602">
        <f t="shared" si="16"/>
        <v>45989.30481283422</v>
      </c>
      <c r="F113" s="612">
        <v>0.039700000000000006</v>
      </c>
      <c r="G113" s="617">
        <f t="shared" si="24"/>
        <v>1825.7754010695187</v>
      </c>
      <c r="H113" s="554">
        <f t="shared" si="25"/>
        <v>1095.4652406417113</v>
      </c>
      <c r="I113" s="618" t="s">
        <v>41</v>
      </c>
      <c r="J113" s="547" t="s">
        <v>8</v>
      </c>
    </row>
    <row r="114" spans="1:10" s="547" customFormat="1" ht="13.5" thickBot="1">
      <c r="A114" s="653">
        <v>39965</v>
      </c>
      <c r="B114" s="560">
        <v>39979</v>
      </c>
      <c r="C114" s="619">
        <v>77311</v>
      </c>
      <c r="D114" s="620">
        <f t="shared" si="26"/>
        <v>656</v>
      </c>
      <c r="E114" s="621">
        <f t="shared" si="16"/>
        <v>87700.53475935828</v>
      </c>
      <c r="F114" s="622">
        <v>0.039700000000000006</v>
      </c>
      <c r="G114" s="623">
        <f t="shared" si="24"/>
        <v>3481.7112299465243</v>
      </c>
      <c r="H114" s="624">
        <f t="shared" si="25"/>
        <v>2089.0267379679144</v>
      </c>
      <c r="I114" s="610">
        <f>SUM(E103:E114)</f>
        <v>955748.6631016042</v>
      </c>
      <c r="J114" s="625">
        <f>SUM(H103:H114)</f>
        <v>22765.933155080213</v>
      </c>
    </row>
    <row r="115" spans="1:9" s="147" customFormat="1" ht="12.75">
      <c r="A115" s="654">
        <v>39995</v>
      </c>
      <c r="B115" s="652">
        <v>40011</v>
      </c>
      <c r="C115" s="631">
        <v>78043</v>
      </c>
      <c r="D115" s="532">
        <f t="shared" si="26"/>
        <v>732</v>
      </c>
      <c r="E115" s="532">
        <f aca="true" t="shared" si="27" ref="E115:E126">IF(D115="","",D115*1000/7.48)</f>
        <v>97860.96256684492</v>
      </c>
      <c r="F115" s="433">
        <f>Rates!$E$31</f>
        <v>0.039700000000000006</v>
      </c>
      <c r="G115" s="195">
        <f>IF(E115="","",E115*F115)</f>
        <v>3885.0802139037437</v>
      </c>
      <c r="H115" s="195">
        <f>IF(E115="","",G115*0.6)</f>
        <v>2331.048128342246</v>
      </c>
      <c r="I115" s="534">
        <f>(I114-I102)/I102</f>
        <v>0.02863309352517982</v>
      </c>
    </row>
    <row r="116" spans="1:9" s="147" customFormat="1" ht="12.75">
      <c r="A116" s="655">
        <v>40026</v>
      </c>
      <c r="B116" s="527">
        <v>40042</v>
      </c>
      <c r="C116" s="632">
        <v>79062</v>
      </c>
      <c r="D116" s="533">
        <f t="shared" si="26"/>
        <v>1019</v>
      </c>
      <c r="E116" s="533">
        <f t="shared" si="27"/>
        <v>136229.94652406417</v>
      </c>
      <c r="F116" s="483">
        <f>Rates!$E$31</f>
        <v>0.039700000000000006</v>
      </c>
      <c r="G116" s="199">
        <f>IF(E116="","",E116*F116)</f>
        <v>5408.328877005349</v>
      </c>
      <c r="H116" s="199">
        <f>IF(E116="","",G116*0.6)</f>
        <v>3244.997326203209</v>
      </c>
      <c r="I116" s="450"/>
    </row>
    <row r="117" spans="1:10" s="147" customFormat="1" ht="12.75">
      <c r="A117" s="655">
        <v>40057</v>
      </c>
      <c r="B117" s="527">
        <v>40071</v>
      </c>
      <c r="C117" s="632">
        <v>79763</v>
      </c>
      <c r="D117" s="533">
        <f aca="true" t="shared" si="28" ref="D117:D126">IF(C117="","",C117-C116)</f>
        <v>701</v>
      </c>
      <c r="E117" s="533">
        <f t="shared" si="27"/>
        <v>93716.57754010694</v>
      </c>
      <c r="F117" s="483">
        <f>Rates!$E$31</f>
        <v>0.039700000000000006</v>
      </c>
      <c r="G117" s="199">
        <f>IF(E117="","",E117*F117)</f>
        <v>3720.548128342246</v>
      </c>
      <c r="H117" s="199">
        <f>IF(E117="","",G117*0.6)</f>
        <v>2232.3288770053473</v>
      </c>
      <c r="I117" s="450"/>
      <c r="J117" s="97"/>
    </row>
    <row r="118" spans="1:9" s="147" customFormat="1" ht="12.75">
      <c r="A118" s="655">
        <v>40087</v>
      </c>
      <c r="B118" s="527">
        <v>40102</v>
      </c>
      <c r="C118" s="533">
        <v>80218</v>
      </c>
      <c r="D118" s="533">
        <f t="shared" si="28"/>
        <v>455</v>
      </c>
      <c r="E118" s="533">
        <f t="shared" si="27"/>
        <v>60828.87700534759</v>
      </c>
      <c r="F118" s="483">
        <f>Rates!$E$31</f>
        <v>0.039700000000000006</v>
      </c>
      <c r="G118" s="199">
        <f>IF(E118="","",E118*F118)</f>
        <v>2414.9064171122996</v>
      </c>
      <c r="H118" s="199">
        <f>IF(E118="","",G118*0.6)</f>
        <v>1448.9438502673797</v>
      </c>
      <c r="I118" s="450"/>
    </row>
    <row r="119" spans="1:9" s="147" customFormat="1" ht="12.75">
      <c r="A119" s="655">
        <v>40118</v>
      </c>
      <c r="B119" s="527">
        <v>40133</v>
      </c>
      <c r="C119" s="533">
        <v>80598</v>
      </c>
      <c r="D119" s="533">
        <f t="shared" si="28"/>
        <v>380</v>
      </c>
      <c r="E119" s="533">
        <f t="shared" si="27"/>
        <v>50802.13903743315</v>
      </c>
      <c r="F119" s="483">
        <f>Rates!$E$31</f>
        <v>0.039700000000000006</v>
      </c>
      <c r="G119" s="199">
        <f>IF(E119="","",E119*F119)</f>
        <v>2016.8449197860964</v>
      </c>
      <c r="H119" s="199">
        <f>IF(E119="","",G119*0.6)</f>
        <v>1210.1069518716579</v>
      </c>
      <c r="I119" s="450"/>
    </row>
    <row r="120" spans="1:9" s="147" customFormat="1" ht="12.75">
      <c r="A120" s="655">
        <v>40148</v>
      </c>
      <c r="B120" s="527">
        <v>40162</v>
      </c>
      <c r="C120" s="533">
        <v>80869</v>
      </c>
      <c r="D120" s="533">
        <f t="shared" si="28"/>
        <v>271</v>
      </c>
      <c r="E120" s="533">
        <f t="shared" si="27"/>
        <v>36229.946524064166</v>
      </c>
      <c r="F120" s="483">
        <f>Rates!$E$31</f>
        <v>0.039700000000000006</v>
      </c>
      <c r="G120" s="410">
        <f aca="true" t="shared" si="29" ref="G120:G126">IF(E120="","",E120*F120)</f>
        <v>1438.3288770053475</v>
      </c>
      <c r="H120" s="199">
        <f aca="true" t="shared" si="30" ref="H120:H126">IF(E120="","",G120*0.6)</f>
        <v>862.9973262032084</v>
      </c>
      <c r="I120" s="450"/>
    </row>
    <row r="121" spans="1:9" s="147" customFormat="1" ht="12.75">
      <c r="A121" s="655">
        <v>40179</v>
      </c>
      <c r="B121" s="527">
        <v>40193</v>
      </c>
      <c r="C121" s="533">
        <v>81135</v>
      </c>
      <c r="D121" s="533">
        <f t="shared" si="28"/>
        <v>266</v>
      </c>
      <c r="E121" s="533">
        <f t="shared" si="27"/>
        <v>35561.49732620321</v>
      </c>
      <c r="F121" s="483">
        <f>Rates!$E$31</f>
        <v>0.039700000000000006</v>
      </c>
      <c r="G121" s="410">
        <f t="shared" si="29"/>
        <v>1411.7914438502676</v>
      </c>
      <c r="H121" s="199">
        <f t="shared" si="30"/>
        <v>847.0748663101605</v>
      </c>
      <c r="I121" s="450"/>
    </row>
    <row r="122" spans="1:9" s="147" customFormat="1" ht="12.75">
      <c r="A122" s="655">
        <v>40210</v>
      </c>
      <c r="B122" s="527">
        <v>40224</v>
      </c>
      <c r="C122" s="533">
        <v>81488</v>
      </c>
      <c r="D122" s="533">
        <f t="shared" si="28"/>
        <v>353</v>
      </c>
      <c r="E122" s="533">
        <f t="shared" si="27"/>
        <v>47192.51336898396</v>
      </c>
      <c r="F122" s="483">
        <f>Rates!$E$31</f>
        <v>0.039700000000000006</v>
      </c>
      <c r="G122" s="410">
        <f t="shared" si="29"/>
        <v>1873.5427807486633</v>
      </c>
      <c r="H122" s="199">
        <f t="shared" si="30"/>
        <v>1124.125668449198</v>
      </c>
      <c r="I122" s="451"/>
    </row>
    <row r="123" spans="1:9" s="147" customFormat="1" ht="12.75">
      <c r="A123" s="655">
        <v>40238</v>
      </c>
      <c r="B123" s="527">
        <v>40252</v>
      </c>
      <c r="C123" s="533">
        <v>81810</v>
      </c>
      <c r="D123" s="533">
        <f t="shared" si="28"/>
        <v>322</v>
      </c>
      <c r="E123" s="533">
        <f t="shared" si="27"/>
        <v>43048.12834224599</v>
      </c>
      <c r="F123" s="483">
        <f>Rates!$E$31</f>
        <v>0.039700000000000006</v>
      </c>
      <c r="G123" s="410">
        <f t="shared" si="29"/>
        <v>1709.010695187166</v>
      </c>
      <c r="H123" s="199">
        <f t="shared" si="30"/>
        <v>1025.4064171122996</v>
      </c>
      <c r="I123" s="451"/>
    </row>
    <row r="124" spans="1:9" s="634" customFormat="1" ht="12.75">
      <c r="A124" s="655">
        <v>40269</v>
      </c>
      <c r="B124" s="527">
        <v>40284</v>
      </c>
      <c r="C124" s="533">
        <v>82096</v>
      </c>
      <c r="D124" s="533">
        <f t="shared" si="28"/>
        <v>286</v>
      </c>
      <c r="E124" s="533">
        <f t="shared" si="27"/>
        <v>38235.294117647056</v>
      </c>
      <c r="F124" s="483">
        <f>Rates!$E$31</f>
        <v>0.039700000000000006</v>
      </c>
      <c r="G124" s="410">
        <f t="shared" si="29"/>
        <v>1517.9411764705883</v>
      </c>
      <c r="H124" s="199">
        <f t="shared" si="30"/>
        <v>910.7647058823529</v>
      </c>
      <c r="I124" s="649"/>
    </row>
    <row r="125" spans="1:10" s="634" customFormat="1" ht="12.75">
      <c r="A125" s="655">
        <v>40299</v>
      </c>
      <c r="B125" s="527">
        <v>40312</v>
      </c>
      <c r="C125" s="533">
        <v>82333</v>
      </c>
      <c r="D125" s="533">
        <f t="shared" si="28"/>
        <v>237</v>
      </c>
      <c r="E125" s="533">
        <f t="shared" si="27"/>
        <v>31684.491978609625</v>
      </c>
      <c r="F125" s="483">
        <f>Rates!$E$31</f>
        <v>0.039700000000000006</v>
      </c>
      <c r="G125" s="410">
        <f t="shared" si="29"/>
        <v>1257.8743315508023</v>
      </c>
      <c r="H125" s="199">
        <f t="shared" si="30"/>
        <v>754.7245989304813</v>
      </c>
      <c r="I125" s="650" t="s">
        <v>41</v>
      </c>
      <c r="J125" s="634" t="s">
        <v>8</v>
      </c>
    </row>
    <row r="126" spans="1:10" s="634" customFormat="1" ht="12.75">
      <c r="A126" s="655">
        <v>40330</v>
      </c>
      <c r="B126" s="527">
        <v>40343</v>
      </c>
      <c r="C126" s="533">
        <v>82946</v>
      </c>
      <c r="D126" s="533">
        <f t="shared" si="28"/>
        <v>613</v>
      </c>
      <c r="E126" s="533">
        <f t="shared" si="27"/>
        <v>81951.871657754</v>
      </c>
      <c r="F126" s="483">
        <f>Rates!$E$31</f>
        <v>0.039700000000000006</v>
      </c>
      <c r="G126" s="410">
        <f t="shared" si="29"/>
        <v>3253.4893048128342</v>
      </c>
      <c r="H126" s="199">
        <f t="shared" si="30"/>
        <v>1952.0935828877004</v>
      </c>
      <c r="I126" s="648">
        <f>SUM(E115:E126)</f>
        <v>753342.2459893047</v>
      </c>
      <c r="J126" s="651">
        <f>SUM(H115:H126)</f>
        <v>17944.61229946524</v>
      </c>
    </row>
    <row r="127" ht="12.75">
      <c r="I127" s="534">
        <f>(I126-I114)/I114</f>
        <v>-0.21177787103091344</v>
      </c>
    </row>
    <row r="128" spans="2:5" ht="12.75">
      <c r="B128" s="141" t="s">
        <v>73</v>
      </c>
      <c r="E128" s="95"/>
    </row>
    <row r="129" ht="12.75">
      <c r="H129" s="32">
        <f>SUM(H55:H66)</f>
        <v>21841.042780748663</v>
      </c>
    </row>
    <row r="130" ht="12.75">
      <c r="H130" s="32">
        <f>SUM(H43:H54)</f>
        <v>20855.77540106952</v>
      </c>
    </row>
    <row r="152" ht="12.75">
      <c r="F152">
        <v>0.0366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fitToHeight="1" fitToWidth="1" horizontalDpi="300" verticalDpi="300" orientation="portrait" scale="75" r:id="rId1"/>
  <headerFooter alignWithMargins="0">
    <oddFooter>&amp;L&amp;D&amp;Rpage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6">
      <selection activeCell="D8" sqref="D8"/>
    </sheetView>
  </sheetViews>
  <sheetFormatPr defaultColWidth="9.140625" defaultRowHeight="12.75"/>
  <cols>
    <col min="1" max="1" width="6.57421875" style="17" customWidth="1"/>
    <col min="2" max="2" width="25.140625" style="17" customWidth="1"/>
    <col min="3" max="5" width="13.8515625" style="17" customWidth="1"/>
    <col min="6" max="6" width="16.57421875" style="17" customWidth="1"/>
    <col min="7" max="7" width="13.140625" style="231" customWidth="1"/>
    <col min="8" max="9" width="13.8515625" style="17" customWidth="1"/>
    <col min="10" max="10" width="10.57421875" style="17" customWidth="1"/>
    <col min="11" max="11" width="11.140625" style="17" customWidth="1"/>
    <col min="12" max="12" width="14.421875" style="17" customWidth="1"/>
    <col min="13" max="13" width="8.57421875" style="17" customWidth="1"/>
    <col min="14" max="16384" width="9.140625" style="17" customWidth="1"/>
  </cols>
  <sheetData>
    <row r="1" spans="2:10" ht="18">
      <c r="B1" s="685" t="s">
        <v>91</v>
      </c>
      <c r="C1" s="685"/>
      <c r="D1" s="685"/>
      <c r="E1" s="685"/>
      <c r="F1" s="685"/>
      <c r="G1" s="685"/>
      <c r="H1" s="214"/>
      <c r="I1" s="214"/>
      <c r="J1" s="214"/>
    </row>
    <row r="2" spans="2:10" ht="18">
      <c r="B2" s="686" t="s">
        <v>123</v>
      </c>
      <c r="C2" s="686"/>
      <c r="D2" s="686"/>
      <c r="E2" s="686"/>
      <c r="F2" s="686"/>
      <c r="G2" s="686"/>
      <c r="H2" s="215"/>
      <c r="I2" s="215"/>
      <c r="J2" s="215"/>
    </row>
    <row r="3" spans="2:10" ht="12.75">
      <c r="B3" s="184"/>
      <c r="C3" s="216"/>
      <c r="D3" s="216"/>
      <c r="E3" s="216"/>
      <c r="F3" s="216"/>
      <c r="G3" s="216"/>
      <c r="I3" s="144"/>
      <c r="J3" s="144"/>
    </row>
    <row r="4" spans="2:38" s="154" customFormat="1" ht="12.75">
      <c r="B4" s="217"/>
      <c r="C4" s="218"/>
      <c r="D4" s="219"/>
      <c r="E4" s="218"/>
      <c r="F4" s="219"/>
      <c r="G4" s="218"/>
      <c r="H4" s="219"/>
      <c r="I4" s="218"/>
      <c r="J4" s="219"/>
      <c r="K4" s="21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s="154" customFormat="1" ht="18">
      <c r="B5" s="220" t="s">
        <v>92</v>
      </c>
      <c r="C5" s="221"/>
      <c r="D5" s="222"/>
      <c r="E5" s="221"/>
      <c r="F5" s="222"/>
      <c r="G5" s="221"/>
      <c r="H5" s="222"/>
      <c r="I5" s="221"/>
      <c r="J5" s="222"/>
      <c r="K5" s="22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2:38" s="154" customFormat="1" ht="15">
      <c r="B6" s="223" t="s">
        <v>83</v>
      </c>
      <c r="C6" s="133"/>
      <c r="D6" s="134"/>
      <c r="E6" s="145">
        <v>0.075</v>
      </c>
      <c r="F6" s="136" t="s">
        <v>84</v>
      </c>
      <c r="G6" s="133"/>
      <c r="H6" s="137"/>
      <c r="I6" s="224"/>
      <c r="J6" s="224"/>
      <c r="K6" s="22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s="154" customFormat="1" ht="15">
      <c r="B7" s="223" t="s">
        <v>77</v>
      </c>
      <c r="C7" s="133"/>
      <c r="D7" s="134"/>
      <c r="E7" s="145">
        <v>0</v>
      </c>
      <c r="F7" s="136" t="s">
        <v>84</v>
      </c>
      <c r="G7" s="133"/>
      <c r="H7" s="134"/>
      <c r="I7" s="133"/>
      <c r="J7" s="134"/>
      <c r="K7" s="133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s="154" customFormat="1" ht="15">
      <c r="B8" s="223" t="s">
        <v>110</v>
      </c>
      <c r="C8" s="133"/>
      <c r="D8" s="134"/>
      <c r="E8" s="145">
        <v>0.01</v>
      </c>
      <c r="F8" s="136" t="s">
        <v>84</v>
      </c>
      <c r="G8" s="133"/>
      <c r="H8" s="19"/>
      <c r="I8" s="225"/>
      <c r="J8" s="134"/>
      <c r="K8" s="133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s="154" customFormat="1" ht="15.75" thickBot="1">
      <c r="B9" s="223"/>
      <c r="C9" s="133"/>
      <c r="D9" s="134"/>
      <c r="E9" s="145"/>
      <c r="F9" s="136"/>
      <c r="G9" s="133"/>
      <c r="H9" s="19"/>
      <c r="I9" s="225"/>
      <c r="J9" s="134"/>
      <c r="K9" s="133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11" s="154" customFormat="1" ht="15.75" thickBot="1">
      <c r="B10" s="146" t="s">
        <v>80</v>
      </c>
      <c r="C10" s="133"/>
      <c r="D10" s="134"/>
      <c r="E10" s="236">
        <f>SUM(E6:E8)</f>
        <v>0.08499999999999999</v>
      </c>
      <c r="F10" s="226" t="s">
        <v>84</v>
      </c>
      <c r="G10" s="133"/>
      <c r="H10" s="134"/>
      <c r="I10" s="133"/>
      <c r="J10" s="134"/>
      <c r="K10" s="133"/>
    </row>
    <row r="11" spans="2:11" s="154" customFormat="1" ht="15">
      <c r="B11" s="146"/>
      <c r="C11" s="133"/>
      <c r="D11" s="134"/>
      <c r="E11" s="145"/>
      <c r="F11" s="136"/>
      <c r="G11" s="133"/>
      <c r="H11" s="134"/>
      <c r="I11" s="133"/>
      <c r="J11" s="134"/>
      <c r="K11" s="133"/>
    </row>
    <row r="12" spans="2:11" s="154" customFormat="1" ht="14.25">
      <c r="B12" s="227" t="s">
        <v>93</v>
      </c>
      <c r="C12" s="133"/>
      <c r="D12" s="134"/>
      <c r="E12" s="145"/>
      <c r="F12" s="136"/>
      <c r="G12" s="133"/>
      <c r="H12" s="134"/>
      <c r="I12" s="133"/>
      <c r="J12" s="134"/>
      <c r="K12" s="133"/>
    </row>
    <row r="13" spans="2:11" s="154" customFormat="1" ht="15">
      <c r="B13" s="146"/>
      <c r="C13" s="137"/>
      <c r="D13" s="134"/>
      <c r="E13" s="138"/>
      <c r="F13" s="136"/>
      <c r="G13" s="133"/>
      <c r="H13" s="134"/>
      <c r="I13" s="133"/>
      <c r="J13" s="134"/>
      <c r="K13" s="133"/>
    </row>
    <row r="14" spans="2:11" ht="18">
      <c r="B14" s="220" t="s">
        <v>94</v>
      </c>
      <c r="C14" s="221"/>
      <c r="D14" s="222"/>
      <c r="E14" s="221"/>
      <c r="F14" s="222"/>
      <c r="G14" s="228"/>
      <c r="K14" s="154"/>
    </row>
    <row r="15" spans="2:11" ht="15">
      <c r="B15" s="223" t="s">
        <v>75</v>
      </c>
      <c r="C15" s="133"/>
      <c r="D15" s="134"/>
      <c r="E15" s="145">
        <v>8.6</v>
      </c>
      <c r="F15" s="136" t="s">
        <v>76</v>
      </c>
      <c r="G15" s="228"/>
      <c r="H15" s="19"/>
      <c r="K15" s="154"/>
    </row>
    <row r="16" spans="2:8" ht="15">
      <c r="B16" s="223" t="s">
        <v>77</v>
      </c>
      <c r="C16" s="133"/>
      <c r="D16" s="134"/>
      <c r="E16" s="135">
        <v>0.66</v>
      </c>
      <c r="F16" s="136" t="s">
        <v>76</v>
      </c>
      <c r="G16" s="228"/>
      <c r="H16" s="19"/>
    </row>
    <row r="17" spans="2:8" ht="15">
      <c r="B17" s="223" t="s">
        <v>110</v>
      </c>
      <c r="C17" s="133"/>
      <c r="D17" s="134"/>
      <c r="E17" s="135">
        <v>1.1</v>
      </c>
      <c r="F17" s="136" t="s">
        <v>76</v>
      </c>
      <c r="G17" s="228"/>
      <c r="H17" s="19"/>
    </row>
    <row r="18" spans="2:8" ht="15">
      <c r="B18" s="223"/>
      <c r="C18" s="133"/>
      <c r="D18" s="134"/>
      <c r="E18" s="135"/>
      <c r="F18" s="136"/>
      <c r="G18" s="228"/>
      <c r="H18" s="19"/>
    </row>
    <row r="19" spans="2:7" ht="15">
      <c r="B19" s="223" t="s">
        <v>78</v>
      </c>
      <c r="C19" s="133"/>
      <c r="D19" s="134"/>
      <c r="E19" s="135">
        <f>SUM(E15:E17)</f>
        <v>10.36</v>
      </c>
      <c r="F19" s="136" t="s">
        <v>76</v>
      </c>
      <c r="G19" s="228"/>
    </row>
    <row r="20" spans="2:7" ht="15">
      <c r="B20" s="146" t="s">
        <v>79</v>
      </c>
      <c r="C20" s="137"/>
      <c r="D20" s="138">
        <v>1</v>
      </c>
      <c r="F20" s="136" t="s">
        <v>109</v>
      </c>
      <c r="G20" s="228"/>
    </row>
    <row r="21" spans="2:7" ht="15">
      <c r="B21" s="216"/>
      <c r="C21" s="137"/>
      <c r="D21" s="134"/>
      <c r="E21" s="235">
        <f>E19/D20</f>
        <v>10.36</v>
      </c>
      <c r="F21" s="226" t="s">
        <v>81</v>
      </c>
      <c r="G21" s="239"/>
    </row>
    <row r="22" spans="2:8" ht="15">
      <c r="B22" s="146" t="s">
        <v>80</v>
      </c>
      <c r="C22" s="137"/>
      <c r="D22" s="134"/>
      <c r="E22" s="239">
        <f>E21/10</f>
        <v>1.036</v>
      </c>
      <c r="F22" s="136" t="s">
        <v>95</v>
      </c>
      <c r="G22" s="239"/>
      <c r="H22" s="626"/>
    </row>
    <row r="23" spans="2:7" ht="12.75">
      <c r="B23" s="216"/>
      <c r="C23" s="216"/>
      <c r="D23" s="216"/>
      <c r="E23" s="216"/>
      <c r="F23" s="216"/>
      <c r="G23" s="228"/>
    </row>
    <row r="24" spans="2:7" ht="12.75">
      <c r="B24" s="232" t="s">
        <v>96</v>
      </c>
      <c r="C24" s="216"/>
      <c r="D24" s="216"/>
      <c r="E24" s="216"/>
      <c r="F24" s="216"/>
      <c r="G24" s="228"/>
    </row>
    <row r="25" spans="2:7" s="230" customFormat="1" ht="14.25">
      <c r="B25" s="232" t="s">
        <v>97</v>
      </c>
      <c r="C25" s="227"/>
      <c r="D25" s="227"/>
      <c r="E25" s="227"/>
      <c r="F25" s="227"/>
      <c r="G25" s="229"/>
    </row>
    <row r="26" spans="2:7" ht="12.75">
      <c r="B26" s="216"/>
      <c r="C26" s="216"/>
      <c r="D26" s="216"/>
      <c r="E26" s="216"/>
      <c r="F26" s="216"/>
      <c r="G26" s="228"/>
    </row>
    <row r="27" spans="2:7" ht="18">
      <c r="B27" s="220" t="s">
        <v>98</v>
      </c>
      <c r="C27" s="221"/>
      <c r="D27" s="222"/>
      <c r="E27" s="221"/>
      <c r="F27" s="222"/>
      <c r="G27" s="221"/>
    </row>
    <row r="28" spans="2:7" ht="15">
      <c r="B28" s="223" t="s">
        <v>99</v>
      </c>
      <c r="C28" s="133"/>
      <c r="D28" s="134"/>
      <c r="E28" s="178">
        <v>0.0181</v>
      </c>
      <c r="F28" s="136" t="s">
        <v>100</v>
      </c>
      <c r="G28" s="133"/>
    </row>
    <row r="29" spans="2:7" ht="15">
      <c r="B29" s="223" t="s">
        <v>101</v>
      </c>
      <c r="C29" s="133"/>
      <c r="D29" s="134"/>
      <c r="E29" s="178">
        <v>0.0181</v>
      </c>
      <c r="F29" s="136" t="s">
        <v>100</v>
      </c>
      <c r="G29" s="133"/>
    </row>
    <row r="30" spans="2:8" ht="15.75" thickBot="1">
      <c r="B30" s="223" t="s">
        <v>110</v>
      </c>
      <c r="C30" s="133"/>
      <c r="D30" s="134"/>
      <c r="E30" s="178">
        <v>0.0035</v>
      </c>
      <c r="F30" s="136" t="s">
        <v>100</v>
      </c>
      <c r="G30" s="133"/>
      <c r="H30" s="19"/>
    </row>
    <row r="31" spans="2:7" ht="15.75" thickBot="1">
      <c r="B31" s="146" t="s">
        <v>80</v>
      </c>
      <c r="C31" s="137"/>
      <c r="D31" s="134"/>
      <c r="E31" s="236">
        <f>SUM(E28:E30)</f>
        <v>0.039700000000000006</v>
      </c>
      <c r="F31" s="226" t="s">
        <v>100</v>
      </c>
      <c r="G31" s="133"/>
    </row>
    <row r="33" spans="2:6" ht="18">
      <c r="B33" s="220" t="s">
        <v>29</v>
      </c>
      <c r="C33" s="45"/>
      <c r="D33" s="45"/>
      <c r="E33" s="45"/>
      <c r="F33"/>
    </row>
    <row r="34" spans="1:5" ht="25.5">
      <c r="A34"/>
      <c r="B34" s="83" t="s">
        <v>33</v>
      </c>
      <c r="C34" s="80" t="s">
        <v>31</v>
      </c>
      <c r="D34" s="76" t="s">
        <v>30</v>
      </c>
      <c r="E34" s="7" t="s">
        <v>32</v>
      </c>
    </row>
    <row r="35" spans="1:5" ht="25.5">
      <c r="A35"/>
      <c r="B35" s="83" t="s">
        <v>33</v>
      </c>
      <c r="C35" s="80" t="s">
        <v>31</v>
      </c>
      <c r="D35" s="76" t="s">
        <v>30</v>
      </c>
      <c r="E35" s="77" t="s">
        <v>104</v>
      </c>
    </row>
    <row r="36" spans="1:5" ht="12.75">
      <c r="A36"/>
      <c r="B36" s="84" t="s">
        <v>64</v>
      </c>
      <c r="C36" s="81"/>
      <c r="D36" s="46">
        <f>E15+E16</f>
        <v>9.26</v>
      </c>
      <c r="E36" s="77" t="s">
        <v>65</v>
      </c>
    </row>
    <row r="37" spans="1:5" ht="12.75">
      <c r="A37" s="627">
        <v>0.8</v>
      </c>
      <c r="B37" s="84" t="s">
        <v>28</v>
      </c>
      <c r="C37" s="82">
        <f>D36/A37-D36</f>
        <v>2.3149999999999995</v>
      </c>
      <c r="D37" s="46">
        <f>D36+C37</f>
        <v>11.575</v>
      </c>
      <c r="E37" s="77" t="s">
        <v>51</v>
      </c>
    </row>
    <row r="38" spans="1:5" ht="12.75">
      <c r="A38" s="627">
        <v>0.1</v>
      </c>
      <c r="B38" s="84" t="s">
        <v>102</v>
      </c>
      <c r="C38" s="82">
        <f>D37*A38</f>
        <v>1.1575</v>
      </c>
      <c r="D38" s="46">
        <f>D37+C38</f>
        <v>12.7325</v>
      </c>
      <c r="E38" s="77" t="s">
        <v>35</v>
      </c>
    </row>
    <row r="39" spans="1:5" ht="12.75">
      <c r="A39" s="627">
        <v>0.8</v>
      </c>
      <c r="B39" s="84" t="s">
        <v>103</v>
      </c>
      <c r="C39" s="82">
        <f>D38/A39-D38</f>
        <v>3.1831249999999986</v>
      </c>
      <c r="D39" s="46">
        <f>D38+C39</f>
        <v>15.915624999999999</v>
      </c>
      <c r="E39" s="77" t="s">
        <v>63</v>
      </c>
    </row>
    <row r="40" spans="1:5" ht="13.5" thickBot="1">
      <c r="A40" s="627">
        <v>0.05</v>
      </c>
      <c r="B40" s="84" t="s">
        <v>124</v>
      </c>
      <c r="C40" s="82">
        <f>D39*A40</f>
        <v>0.79578125</v>
      </c>
      <c r="D40" s="46">
        <f>D39+C40</f>
        <v>16.71140625</v>
      </c>
      <c r="E40"/>
    </row>
    <row r="41" spans="1:5" ht="13.5" thickBot="1">
      <c r="A41"/>
      <c r="B41" s="84" t="s">
        <v>34</v>
      </c>
      <c r="C41" s="79"/>
      <c r="D41" s="234">
        <f>D40</f>
        <v>16.71140625</v>
      </c>
      <c r="E41"/>
    </row>
  </sheetData>
  <sheetProtection/>
  <mergeCells count="2">
    <mergeCell ref="B1:G1"/>
    <mergeCell ref="B2:G2"/>
  </mergeCells>
  <printOptions/>
  <pageMargins left="0.75" right="0.75" top="1" bottom="1" header="0.5" footer="0.5"/>
  <pageSetup horizontalDpi="300" verticalDpi="300" orientation="portrait" scale="93" r:id="rId1"/>
  <headerFooter alignWithMargins="0">
    <oddHeader>&amp;R&amp;12&amp;F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CF&amp;O</dc:creator>
  <cp:keywords/>
  <dc:description/>
  <cp:lastModifiedBy>James Leidel</cp:lastModifiedBy>
  <cp:lastPrinted>2009-12-17T16:18:16Z</cp:lastPrinted>
  <dcterms:created xsi:type="dcterms:W3CDTF">1999-07-21T16:32:27Z</dcterms:created>
  <dcterms:modified xsi:type="dcterms:W3CDTF">2010-06-21T17:44:34Z</dcterms:modified>
  <cp:category/>
  <cp:version/>
  <cp:contentType/>
  <cp:contentStatus/>
</cp:coreProperties>
</file>