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0350" windowHeight="9120" activeTab="0"/>
  </bookViews>
  <sheets>
    <sheet name="OutlayEstimate" sheetId="1" r:id="rId1"/>
    <sheet name="ProjDataSht" sheetId="2" r:id="rId2"/>
    <sheet name="SpaceProgram" sheetId="3" r:id="rId3"/>
    <sheet name="HannahEst" sheetId="4" r:id="rId4"/>
    <sheet name="DeckEstimate" sheetId="5" r:id="rId5"/>
  </sheets>
  <definedNames/>
  <calcPr fullCalcOnLoad="1"/>
</workbook>
</file>

<file path=xl/sharedStrings.xml><?xml version="1.0" encoding="utf-8"?>
<sst xmlns="http://schemas.openxmlformats.org/spreadsheetml/2006/main" count="292" uniqueCount="173">
  <si>
    <t>OAKLAND UNIVERSITY</t>
  </si>
  <si>
    <t>CAPITAL OUTLAY ESTIMATE</t>
  </si>
  <si>
    <t>PROJECT:</t>
  </si>
  <si>
    <t>PHASE:</t>
  </si>
  <si>
    <t>a.</t>
  </si>
  <si>
    <t>Classrooms</t>
  </si>
  <si>
    <t>b.</t>
  </si>
  <si>
    <t>c.</t>
  </si>
  <si>
    <t>d.</t>
  </si>
  <si>
    <t>Offices</t>
  </si>
  <si>
    <t>e.</t>
  </si>
  <si>
    <t>Sitework:</t>
  </si>
  <si>
    <t>Building:</t>
  </si>
  <si>
    <t>Utilities to site</t>
  </si>
  <si>
    <t>Landscaping</t>
  </si>
  <si>
    <t>Total Sitework Cost</t>
  </si>
  <si>
    <t>Total Building Cost</t>
  </si>
  <si>
    <t>ASF</t>
  </si>
  <si>
    <t>Efficiency</t>
  </si>
  <si>
    <t>Gross SF</t>
  </si>
  <si>
    <t>$/SF</t>
  </si>
  <si>
    <t>Cost</t>
  </si>
  <si>
    <t>Totals</t>
  </si>
  <si>
    <t>DATE:</t>
  </si>
  <si>
    <t>FILE:</t>
  </si>
  <si>
    <t>Engineering Design Center</t>
  </si>
  <si>
    <t>Budget</t>
  </si>
  <si>
    <t>Total Group 1 Equipment Cost</t>
  </si>
  <si>
    <t>Total Construction Cost (Items 1 thru 3)</t>
  </si>
  <si>
    <t>Fees and Contingency</t>
  </si>
  <si>
    <t>a. Programming</t>
  </si>
  <si>
    <t xml:space="preserve">c. </t>
  </si>
  <si>
    <t>Construction Management Fees</t>
  </si>
  <si>
    <t xml:space="preserve">b. </t>
  </si>
  <si>
    <t>Total Fees and Charges</t>
  </si>
  <si>
    <t>TOTAL CONSTRUCTION COST</t>
  </si>
  <si>
    <t>$/GSF</t>
  </si>
  <si>
    <t>Percent</t>
  </si>
  <si>
    <t>1.</t>
  </si>
  <si>
    <t>2.</t>
  </si>
  <si>
    <t>3.</t>
  </si>
  <si>
    <t>4.</t>
  </si>
  <si>
    <t>5.</t>
  </si>
  <si>
    <t>6.</t>
  </si>
  <si>
    <t>7.</t>
  </si>
  <si>
    <t>8.</t>
  </si>
  <si>
    <t>Total Movable Equipment</t>
  </si>
  <si>
    <t>$/ASF</t>
  </si>
  <si>
    <t>ARCH/ENG:</t>
  </si>
  <si>
    <t>n/a</t>
  </si>
  <si>
    <t>SUBJECT:</t>
  </si>
  <si>
    <t>File No.</t>
  </si>
  <si>
    <t>Enter Schematics or Preliminaries prepared by:</t>
  </si>
  <si>
    <t>Oakalnd University</t>
  </si>
  <si>
    <t>Rochester, Michigan</t>
  </si>
  <si>
    <t>Estimated Cost of:</t>
  </si>
  <si>
    <t>The structure (General, mechanical, electrical,</t>
  </si>
  <si>
    <t>fixed equipment, and contingencies) . . . . . . . .</t>
  </si>
  <si>
    <t>Telecommunications . . . . . . .</t>
  </si>
  <si>
    <t>1.a.</t>
  </si>
  <si>
    <t>Services from five feet outside of the structure</t>
  </si>
  <si>
    <t xml:space="preserve">(Sewers, water supply, etc.) . . . . . . . . . . . . </t>
  </si>
  <si>
    <t>Site improvements (Roads, walks, grading, etc.) . . . . . .</t>
  </si>
  <si>
    <t>Furnishings (Furniture, movable equipment, etc., not</t>
  </si>
  <si>
    <t>considered a part of the structure nor requiring fixed</t>
  </si>
  <si>
    <t xml:space="preserve">mechanical and/or electrical services) . . . . . . . . . . . . </t>
  </si>
  <si>
    <t>Professional fees, surveys, site investigations, state</t>
  </si>
  <si>
    <t>supervision, etc. . . . . . . . . . . . . . . . . . . . . .</t>
  </si>
  <si>
    <t>Other . . . . . . . . . . . . . . . . . . .</t>
  </si>
  <si>
    <t xml:space="preserve">6. </t>
  </si>
  <si>
    <t>Month</t>
  </si>
  <si>
    <t>Year</t>
  </si>
  <si>
    <t>PROJECT DATA SHEET</t>
  </si>
  <si>
    <t>Total gross cubic feet</t>
  </si>
  <si>
    <t>Total net square feet</t>
  </si>
  <si>
    <t>Total gross square feet</t>
  </si>
  <si>
    <t xml:space="preserve">Total estimated project cost, bid </t>
  </si>
  <si>
    <t>Building design efficiency (ratio of net/gross)</t>
  </si>
  <si>
    <t>Building occupant design capacity</t>
  </si>
  <si>
    <t>Parking spaces provided</t>
  </si>
  <si>
    <t>*Cost/gross sq.ft.</t>
  </si>
  <si>
    <t>*Cost/gross cu.ft.</t>
  </si>
  <si>
    <t>*Cost/occupant</t>
  </si>
  <si>
    <t>*Cost used here is that of the structure in 1. above.</t>
  </si>
  <si>
    <t xml:space="preserve">d. </t>
  </si>
  <si>
    <t>Sept</t>
  </si>
  <si>
    <t>Space Description - Character and Room Use</t>
  </si>
  <si>
    <t>Categories</t>
  </si>
  <si>
    <t>Large Conference Room</t>
  </si>
  <si>
    <t>Small Conference Room</t>
  </si>
  <si>
    <t>OFFICES AND SUPPORT</t>
  </si>
  <si>
    <t>Workroom / Storage</t>
  </si>
  <si>
    <t>Subtotal</t>
  </si>
  <si>
    <t>Number of</t>
  </si>
  <si>
    <t>Rooms</t>
  </si>
  <si>
    <t>Stations</t>
  </si>
  <si>
    <t>per Room</t>
  </si>
  <si>
    <t>SF per</t>
  </si>
  <si>
    <t>Room</t>
  </si>
  <si>
    <t xml:space="preserve">Total </t>
  </si>
  <si>
    <t>Net SF</t>
  </si>
  <si>
    <t>Classroom</t>
  </si>
  <si>
    <t>Total</t>
  </si>
  <si>
    <t>CLASSROOMS AND ASSOCIATED SPACES</t>
  </si>
  <si>
    <t>LABORATORY SPACE</t>
  </si>
  <si>
    <t>Freshmen Design Laboratories for CSE/ESE/ME</t>
  </si>
  <si>
    <t>Senior Design Laboratories for CSE/ESE/ME</t>
  </si>
  <si>
    <t>Advanced Design Laboratory (ADL)</t>
  </si>
  <si>
    <t>Integrated Design Laboratory (IDL)</t>
  </si>
  <si>
    <t>Computer Laboratories</t>
  </si>
  <si>
    <t>Fundamental Undergraduate Engineering Laboratories</t>
  </si>
  <si>
    <t>Advanced Research and Development Laboratories</t>
  </si>
  <si>
    <t>CSE Departmental Office</t>
  </si>
  <si>
    <t>Chair</t>
  </si>
  <si>
    <t>Secretary</t>
  </si>
  <si>
    <t>Staff</t>
  </si>
  <si>
    <t>Faculty</t>
  </si>
  <si>
    <t>Graduate Assistant</t>
  </si>
  <si>
    <t>SECS Dean's Office</t>
  </si>
  <si>
    <t>Dean</t>
  </si>
  <si>
    <t>Associate Dean</t>
  </si>
  <si>
    <t>Development</t>
  </si>
  <si>
    <t>Staff Graduate Program</t>
  </si>
  <si>
    <t>Administrative Assistant</t>
  </si>
  <si>
    <t>Reception</t>
  </si>
  <si>
    <t>Staff Research Programs</t>
  </si>
  <si>
    <t>Grants / Contracts</t>
  </si>
  <si>
    <t>Subtotal Laboratory Space</t>
  </si>
  <si>
    <t>Subtotal Classrooms and Associated Spaces</t>
  </si>
  <si>
    <t>Subtotal Offices and Support</t>
  </si>
  <si>
    <t>UNASSIGNABLE SPACES</t>
  </si>
  <si>
    <t>Mechanical, Electrical, Communications, Corridors, Stairs and Elevators, Building Walls and Structure (assumed 60% efficiency)</t>
  </si>
  <si>
    <t>Totals for All Assignable Space</t>
  </si>
  <si>
    <t>Subtotal Unassignable Spaces</t>
  </si>
  <si>
    <t>GRAND TOTALS</t>
  </si>
  <si>
    <t>Assistant Dean</t>
  </si>
  <si>
    <t>Advisors</t>
  </si>
  <si>
    <t>Student Lounge</t>
  </si>
  <si>
    <t>Breakout Room</t>
  </si>
  <si>
    <t>Engineering Learning Center</t>
  </si>
  <si>
    <t>IDL</t>
  </si>
  <si>
    <t>ADL</t>
  </si>
  <si>
    <t>ESLC</t>
  </si>
  <si>
    <t>Architectural / Engineering / State Mgt. Fees</t>
  </si>
  <si>
    <t>Design and Construction Contingencies (10%+10%)</t>
  </si>
  <si>
    <t>Fixed (Group 1) Equipment</t>
  </si>
  <si>
    <t>Movable (Group 2) Equipment</t>
  </si>
  <si>
    <t>$/Bldg.SF</t>
  </si>
  <si>
    <t>9.</t>
  </si>
  <si>
    <t>10.</t>
  </si>
  <si>
    <t>TOTAL PROJECT COST @ 2002 DOLLARS</t>
  </si>
  <si>
    <t>IDL ($2,000 / station)</t>
  </si>
  <si>
    <t>ADL ($2,000 / station)</t>
  </si>
  <si>
    <t>Classrooms ($500 / station)</t>
  </si>
  <si>
    <t>Hannah Hall Renovation for Health Sciences</t>
  </si>
  <si>
    <t>Total Construction Cost Cost</t>
  </si>
  <si>
    <t>Demolition</t>
  </si>
  <si>
    <t>Construction</t>
  </si>
  <si>
    <t xml:space="preserve">Architectural / Engineering </t>
  </si>
  <si>
    <t>Engineering Design Center Parking Deck</t>
  </si>
  <si>
    <t>No. Spaces</t>
  </si>
  <si>
    <t>$/space</t>
  </si>
  <si>
    <t>Architectural / Engineering / State Management Fees</t>
  </si>
  <si>
    <t>Building Sitework (including parking deck for 475 vehicles)</t>
  </si>
  <si>
    <t>Total new const.</t>
  </si>
  <si>
    <t>Total buildings</t>
  </si>
  <si>
    <t>f.</t>
  </si>
  <si>
    <t>Hannah Hall renovation</t>
  </si>
  <si>
    <t>SAE Formula Car / Chassis Dynomometer Laboratory</t>
  </si>
  <si>
    <t>Project Escalation to 2006 (8%)</t>
  </si>
  <si>
    <t>TOTAL PROJECT COST @ 2006 DOLLARS</t>
  </si>
  <si>
    <t>Costs should be escalated by 2% per year (8% for midpoint of construction 2006)</t>
  </si>
  <si>
    <t>a.   Programming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</si>
</sst>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$&quot;#,##0"/>
    <numFmt numFmtId="167" formatCode="#,##0.0"/>
    <numFmt numFmtId="168" formatCode="&quot;$&quot;#,##0.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4" xfId="0" applyNumberFormat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6" fontId="4" fillId="0" borderId="11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0" fontId="0" fillId="0" borderId="0" xfId="0" applyNumberFormat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7" fillId="1" borderId="14" xfId="0" applyFont="1" applyFill="1" applyBorder="1" applyAlignment="1">
      <alignment/>
    </xf>
    <xf numFmtId="3" fontId="5" fillId="1" borderId="15" xfId="0" applyNumberFormat="1" applyFont="1" applyFill="1" applyBorder="1" applyAlignment="1">
      <alignment/>
    </xf>
    <xf numFmtId="3" fontId="5" fillId="1" borderId="16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" fontId="5" fillId="1" borderId="15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1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1" borderId="15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7" fillId="1" borderId="12" xfId="0" applyFont="1" applyFill="1" applyBorder="1" applyAlignment="1">
      <alignment/>
    </xf>
    <xf numFmtId="0" fontId="7" fillId="1" borderId="1" xfId="0" applyFont="1" applyFill="1" applyBorder="1" applyAlignment="1">
      <alignment/>
    </xf>
    <xf numFmtId="3" fontId="5" fillId="1" borderId="1" xfId="0" applyNumberFormat="1" applyFont="1" applyFill="1" applyBorder="1" applyAlignment="1">
      <alignment/>
    </xf>
    <xf numFmtId="3" fontId="5" fillId="1" borderId="2" xfId="0" applyNumberFormat="1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167" fontId="5" fillId="0" borderId="13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 wrapText="1"/>
    </xf>
    <xf numFmtId="3" fontId="7" fillId="1" borderId="15" xfId="0" applyNumberFormat="1" applyFont="1" applyFill="1" applyBorder="1" applyAlignment="1">
      <alignment horizontal="right"/>
    </xf>
    <xf numFmtId="0" fontId="7" fillId="1" borderId="15" xfId="0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vertical="top"/>
    </xf>
    <xf numFmtId="3" fontId="5" fillId="0" borderId="13" xfId="0" applyNumberFormat="1" applyFont="1" applyBorder="1" applyAlignment="1">
      <alignment vertical="top"/>
    </xf>
    <xf numFmtId="3" fontId="5" fillId="0" borderId="14" xfId="0" applyNumberFormat="1" applyFont="1" applyBorder="1" applyAlignment="1">
      <alignment vertical="top"/>
    </xf>
    <xf numFmtId="3" fontId="5" fillId="0" borderId="4" xfId="0" applyNumberFormat="1" applyFont="1" applyBorder="1" applyAlignment="1">
      <alignment vertical="top"/>
    </xf>
    <xf numFmtId="3" fontId="5" fillId="0" borderId="15" xfId="0" applyNumberFormat="1" applyFont="1" applyBorder="1" applyAlignment="1">
      <alignment vertical="top"/>
    </xf>
    <xf numFmtId="3" fontId="7" fillId="1" borderId="15" xfId="0" applyNumberFormat="1" applyFont="1" applyFill="1" applyBorder="1" applyAlignment="1">
      <alignment/>
    </xf>
    <xf numFmtId="3" fontId="7" fillId="1" borderId="16" xfId="0" applyNumberFormat="1" applyFont="1" applyFill="1" applyBorder="1" applyAlignment="1">
      <alignment/>
    </xf>
    <xf numFmtId="0" fontId="5" fillId="0" borderId="17" xfId="0" applyFont="1" applyBorder="1" applyAlignment="1">
      <alignment horizontal="center"/>
    </xf>
    <xf numFmtId="10" fontId="0" fillId="0" borderId="0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166" fontId="0" fillId="0" borderId="7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3" fontId="0" fillId="0" borderId="6" xfId="0" applyNumberFormat="1" applyBorder="1" applyAlignment="1">
      <alignment/>
    </xf>
    <xf numFmtId="0" fontId="0" fillId="0" borderId="0" xfId="0" applyFill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7"/>
  <sheetViews>
    <sheetView tabSelected="1" workbookViewId="0" topLeftCell="A1">
      <selection activeCell="C58" sqref="C58"/>
    </sheetView>
  </sheetViews>
  <sheetFormatPr defaultColWidth="9.140625" defaultRowHeight="12.75"/>
  <cols>
    <col min="1" max="1" width="1.28515625" style="0" customWidth="1"/>
    <col min="2" max="2" width="3.421875" style="0" customWidth="1"/>
    <col min="3" max="3" width="3.00390625" style="0" customWidth="1"/>
    <col min="4" max="4" width="19.57421875" style="0" customWidth="1"/>
    <col min="5" max="5" width="2.421875" style="0" customWidth="1"/>
    <col min="11" max="11" width="11.8515625" style="0" customWidth="1"/>
    <col min="12" max="12" width="13.421875" style="0" customWidth="1"/>
  </cols>
  <sheetData>
    <row r="1" ht="6" customHeight="1"/>
    <row r="2" spans="2:12" ht="12.75">
      <c r="B2" s="30" t="s">
        <v>0</v>
      </c>
      <c r="C2" s="5"/>
      <c r="D2" s="5"/>
      <c r="E2" s="5"/>
      <c r="F2" s="5"/>
      <c r="G2" s="5"/>
      <c r="H2" s="5"/>
      <c r="I2" s="5"/>
      <c r="J2" s="5" t="s">
        <v>23</v>
      </c>
      <c r="K2" s="6">
        <v>37526</v>
      </c>
      <c r="L2" s="7"/>
    </row>
    <row r="3" spans="2:12" ht="12.75">
      <c r="B3" s="31" t="s">
        <v>1</v>
      </c>
      <c r="C3" s="9"/>
      <c r="D3" s="9"/>
      <c r="E3" s="9"/>
      <c r="F3" s="9"/>
      <c r="G3" s="9"/>
      <c r="H3" s="9"/>
      <c r="I3" s="9"/>
      <c r="J3" s="9" t="s">
        <v>24</v>
      </c>
      <c r="K3" s="9"/>
      <c r="L3" s="10"/>
    </row>
    <row r="4" spans="2:12" ht="12.75">
      <c r="B4" s="8" t="s">
        <v>2</v>
      </c>
      <c r="C4" s="9"/>
      <c r="D4" s="9"/>
      <c r="E4" s="9"/>
      <c r="F4" s="32" t="s">
        <v>25</v>
      </c>
      <c r="G4" s="9"/>
      <c r="H4" s="9"/>
      <c r="I4" s="9"/>
      <c r="J4" s="9"/>
      <c r="K4" s="9"/>
      <c r="L4" s="10"/>
    </row>
    <row r="5" spans="2:12" ht="12.75">
      <c r="B5" s="8" t="s">
        <v>48</v>
      </c>
      <c r="C5" s="9"/>
      <c r="D5" s="9"/>
      <c r="E5" s="9"/>
      <c r="F5" s="9" t="s">
        <v>49</v>
      </c>
      <c r="G5" s="9"/>
      <c r="H5" s="9"/>
      <c r="I5" s="9"/>
      <c r="J5" s="9"/>
      <c r="K5" s="9"/>
      <c r="L5" s="10"/>
    </row>
    <row r="6" spans="2:12" ht="13.5" thickBot="1">
      <c r="B6" s="11" t="s">
        <v>3</v>
      </c>
      <c r="C6" s="12"/>
      <c r="D6" s="12"/>
      <c r="E6" s="12"/>
      <c r="F6" s="12" t="s">
        <v>26</v>
      </c>
      <c r="G6" s="12"/>
      <c r="H6" s="12"/>
      <c r="I6" s="12"/>
      <c r="J6" s="12"/>
      <c r="K6" s="12"/>
      <c r="L6" s="13"/>
    </row>
    <row r="7" spans="2:12" ht="13.5" thickTop="1">
      <c r="B7" s="86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2:12" ht="12.75">
      <c r="B8" s="87"/>
      <c r="C8" s="9"/>
      <c r="D8" s="9"/>
      <c r="E8" s="9"/>
      <c r="F8" s="17" t="s">
        <v>17</v>
      </c>
      <c r="G8" s="17" t="s">
        <v>18</v>
      </c>
      <c r="H8" s="17" t="s">
        <v>19</v>
      </c>
      <c r="I8" s="17"/>
      <c r="J8" s="17" t="s">
        <v>20</v>
      </c>
      <c r="K8" s="17" t="s">
        <v>21</v>
      </c>
      <c r="L8" s="18" t="s">
        <v>22</v>
      </c>
    </row>
    <row r="9" spans="2:12" ht="12.75">
      <c r="B9" s="88" t="s">
        <v>38</v>
      </c>
      <c r="C9" s="16" t="s">
        <v>12</v>
      </c>
      <c r="D9" s="9"/>
      <c r="E9" s="9"/>
      <c r="L9" s="10"/>
    </row>
    <row r="10" spans="2:12" ht="12.75">
      <c r="B10" s="88"/>
      <c r="C10" s="16" t="s">
        <v>4</v>
      </c>
      <c r="D10" s="9" t="s">
        <v>5</v>
      </c>
      <c r="E10" s="9"/>
      <c r="F10" s="19">
        <f>SpaceProgram!H11</f>
        <v>20500</v>
      </c>
      <c r="G10" s="20">
        <v>0.6</v>
      </c>
      <c r="H10" s="19">
        <f>F10/G10</f>
        <v>34166.66666666667</v>
      </c>
      <c r="I10" s="9"/>
      <c r="J10" s="21">
        <v>180</v>
      </c>
      <c r="K10" s="21">
        <f>SUM(H10*J10)</f>
        <v>6150000.000000001</v>
      </c>
      <c r="L10" s="22"/>
    </row>
    <row r="11" spans="2:12" ht="12.75">
      <c r="B11" s="88"/>
      <c r="C11" s="16" t="s">
        <v>6</v>
      </c>
      <c r="D11" s="9" t="s">
        <v>140</v>
      </c>
      <c r="E11" s="9"/>
      <c r="F11" s="19">
        <f>SpaceProgram!H19</f>
        <v>28000</v>
      </c>
      <c r="G11" s="20">
        <v>0.6</v>
      </c>
      <c r="H11" s="19">
        <f>F11/G11</f>
        <v>46666.66666666667</v>
      </c>
      <c r="I11" s="9"/>
      <c r="J11" s="21">
        <v>280</v>
      </c>
      <c r="K11" s="21">
        <f>SUM(H11*J11)</f>
        <v>13066666.666666668</v>
      </c>
      <c r="L11" s="22"/>
    </row>
    <row r="12" spans="2:12" ht="12.75">
      <c r="B12" s="88"/>
      <c r="C12" s="16" t="s">
        <v>7</v>
      </c>
      <c r="D12" s="9" t="s">
        <v>141</v>
      </c>
      <c r="E12" s="9"/>
      <c r="F12" s="19">
        <f>SpaceProgram!H23</f>
        <v>8000</v>
      </c>
      <c r="G12" s="20">
        <v>0.6</v>
      </c>
      <c r="H12" s="19">
        <f>F12/G12</f>
        <v>13333.333333333334</v>
      </c>
      <c r="I12" s="9"/>
      <c r="J12" s="21">
        <v>280</v>
      </c>
      <c r="K12" s="21">
        <f>SUM(H12*J12)</f>
        <v>3733333.3333333335</v>
      </c>
      <c r="L12" s="22"/>
    </row>
    <row r="13" spans="2:12" ht="12.75">
      <c r="B13" s="88"/>
      <c r="C13" s="16" t="s">
        <v>8</v>
      </c>
      <c r="D13" s="9" t="s">
        <v>142</v>
      </c>
      <c r="E13" s="9"/>
      <c r="F13" s="19">
        <f>SpaceProgram!H33</f>
        <v>2200</v>
      </c>
      <c r="G13" s="20">
        <v>0.6</v>
      </c>
      <c r="H13" s="19">
        <f>F13/G13</f>
        <v>3666.666666666667</v>
      </c>
      <c r="I13" s="9"/>
      <c r="J13" s="21">
        <v>150</v>
      </c>
      <c r="K13" s="21">
        <f>SUM(H13*J13)</f>
        <v>550000</v>
      </c>
      <c r="L13" s="22"/>
    </row>
    <row r="14" spans="2:12" ht="12.75">
      <c r="B14" s="88"/>
      <c r="C14" s="16" t="s">
        <v>10</v>
      </c>
      <c r="D14" s="9" t="s">
        <v>9</v>
      </c>
      <c r="E14" s="9"/>
      <c r="F14" s="25">
        <f>SpaceProgram!H40+SpaceProgram!H52</f>
        <v>6600</v>
      </c>
      <c r="G14" s="20">
        <v>0.6</v>
      </c>
      <c r="H14" s="25">
        <f>F14/G14</f>
        <v>11000</v>
      </c>
      <c r="I14" s="9"/>
      <c r="J14" s="21">
        <v>120</v>
      </c>
      <c r="K14" s="21">
        <f>SUM(H14*J14)</f>
        <v>1320000</v>
      </c>
      <c r="L14" s="22"/>
    </row>
    <row r="15" spans="2:12" ht="12.75">
      <c r="B15" s="88"/>
      <c r="C15" s="16" t="s">
        <v>164</v>
      </c>
      <c r="D15" s="9"/>
      <c r="E15" s="9"/>
      <c r="F15" s="19">
        <f>SUM(F10:F14)</f>
        <v>65300</v>
      </c>
      <c r="G15" s="20"/>
      <c r="H15" s="19">
        <f>SUM(H10:H14)</f>
        <v>108833.33333333334</v>
      </c>
      <c r="I15" s="9"/>
      <c r="J15" s="21"/>
      <c r="K15" s="21"/>
      <c r="L15" s="22">
        <f>SUM(K9:K14)</f>
        <v>24820000</v>
      </c>
    </row>
    <row r="16" spans="2:12" ht="13.5" thickBot="1">
      <c r="B16" s="88"/>
      <c r="C16" s="16" t="s">
        <v>166</v>
      </c>
      <c r="D16" s="16" t="s">
        <v>167</v>
      </c>
      <c r="E16" s="9"/>
      <c r="F16" s="92">
        <v>5000</v>
      </c>
      <c r="G16" s="20"/>
      <c r="H16" s="92">
        <v>5000</v>
      </c>
      <c r="I16" s="9"/>
      <c r="J16" s="21">
        <v>85</v>
      </c>
      <c r="K16" s="21">
        <f>SUM(H16*J16)</f>
        <v>425000</v>
      </c>
      <c r="L16" s="22"/>
    </row>
    <row r="17" spans="2:12" ht="13.5" thickTop="1">
      <c r="B17" s="88"/>
      <c r="C17" s="16" t="s">
        <v>165</v>
      </c>
      <c r="D17" s="9"/>
      <c r="E17" s="9"/>
      <c r="F17" s="19">
        <f>SUM(F15:F16)</f>
        <v>70300</v>
      </c>
      <c r="G17" s="9"/>
      <c r="H17" s="19">
        <f>SUM(H15:H16)</f>
        <v>113833.33333333334</v>
      </c>
      <c r="I17" s="9"/>
      <c r="J17" s="21"/>
      <c r="K17" s="21"/>
      <c r="L17" s="22"/>
    </row>
    <row r="18" spans="2:12" ht="12.75">
      <c r="B18" s="88"/>
      <c r="C18" s="16"/>
      <c r="D18" s="9"/>
      <c r="E18" s="9" t="s">
        <v>16</v>
      </c>
      <c r="F18" s="9"/>
      <c r="G18" s="9"/>
      <c r="H18" s="9"/>
      <c r="I18" s="9"/>
      <c r="J18" s="21"/>
      <c r="K18" s="21"/>
      <c r="L18" s="22">
        <f>SUM(K9:K17)</f>
        <v>25245000</v>
      </c>
    </row>
    <row r="19" spans="2:12" ht="12.75">
      <c r="B19" s="88"/>
      <c r="C19" s="16"/>
      <c r="D19" s="9"/>
      <c r="E19" s="9"/>
      <c r="F19" s="9"/>
      <c r="G19" s="9"/>
      <c r="H19" s="9"/>
      <c r="I19" s="9"/>
      <c r="J19" s="17" t="s">
        <v>147</v>
      </c>
      <c r="K19" s="9"/>
      <c r="L19" s="10"/>
    </row>
    <row r="20" spans="2:12" ht="12.75">
      <c r="B20" s="88" t="s">
        <v>39</v>
      </c>
      <c r="C20" s="16" t="s">
        <v>11</v>
      </c>
      <c r="D20" s="9"/>
      <c r="E20" s="9"/>
      <c r="F20" s="9"/>
      <c r="G20" s="9"/>
      <c r="H20" s="9"/>
      <c r="I20" s="9"/>
      <c r="J20" s="9"/>
      <c r="K20" s="9"/>
      <c r="L20" s="10"/>
    </row>
    <row r="21" spans="2:12" ht="12.75">
      <c r="B21" s="88"/>
      <c r="C21" s="16" t="s">
        <v>4</v>
      </c>
      <c r="D21" s="9" t="s">
        <v>163</v>
      </c>
      <c r="E21" s="9"/>
      <c r="F21" s="9"/>
      <c r="G21" s="9"/>
      <c r="H21" s="9"/>
      <c r="I21" s="9"/>
      <c r="J21" s="21">
        <v>57</v>
      </c>
      <c r="K21" s="21">
        <f>$H$17*J21</f>
        <v>6488500.000000001</v>
      </c>
      <c r="L21" s="22"/>
    </row>
    <row r="22" spans="2:12" ht="12.75">
      <c r="B22" s="88"/>
      <c r="C22" s="16" t="s">
        <v>6</v>
      </c>
      <c r="D22" s="9" t="s">
        <v>13</v>
      </c>
      <c r="E22" s="9"/>
      <c r="F22" s="9"/>
      <c r="G22" s="9"/>
      <c r="H22" s="9"/>
      <c r="I22" s="9"/>
      <c r="J22" s="21">
        <v>3</v>
      </c>
      <c r="K22" s="21">
        <f>$H$17*J22</f>
        <v>341500</v>
      </c>
      <c r="L22" s="22"/>
    </row>
    <row r="23" spans="2:12" ht="12.75">
      <c r="B23" s="88"/>
      <c r="C23" s="16" t="s">
        <v>7</v>
      </c>
      <c r="D23" s="9" t="s">
        <v>14</v>
      </c>
      <c r="E23" s="9"/>
      <c r="F23" s="9"/>
      <c r="G23" s="9"/>
      <c r="H23" s="9"/>
      <c r="I23" s="9"/>
      <c r="J23" s="21">
        <v>3</v>
      </c>
      <c r="K23" s="21">
        <f>$H$17*J23</f>
        <v>341500</v>
      </c>
      <c r="L23" s="22"/>
    </row>
    <row r="24" spans="2:12" ht="12.75">
      <c r="B24" s="88"/>
      <c r="C24" s="16"/>
      <c r="D24" s="9"/>
      <c r="E24" s="9" t="s">
        <v>15</v>
      </c>
      <c r="F24" s="9"/>
      <c r="G24" s="9"/>
      <c r="H24" s="9"/>
      <c r="I24" s="9"/>
      <c r="J24" s="21"/>
      <c r="K24" s="21"/>
      <c r="L24" s="22">
        <f>SUM(K20:K23)</f>
        <v>7171500.000000001</v>
      </c>
    </row>
    <row r="25" spans="2:12" ht="12.75">
      <c r="B25" s="88"/>
      <c r="C25" s="16"/>
      <c r="D25" s="9"/>
      <c r="E25" s="9"/>
      <c r="F25" s="9"/>
      <c r="G25" s="9"/>
      <c r="H25" s="9"/>
      <c r="I25" s="9"/>
      <c r="J25" s="17" t="s">
        <v>36</v>
      </c>
      <c r="K25" s="9"/>
      <c r="L25" s="10"/>
    </row>
    <row r="26" spans="2:12" ht="12.75">
      <c r="B26" s="88" t="s">
        <v>40</v>
      </c>
      <c r="C26" s="16" t="s">
        <v>145</v>
      </c>
      <c r="D26" s="9"/>
      <c r="E26" s="9"/>
      <c r="F26" s="9"/>
      <c r="G26" s="9"/>
      <c r="H26" s="9"/>
      <c r="I26" s="9"/>
      <c r="J26" s="9"/>
      <c r="K26" s="9"/>
      <c r="L26" s="10"/>
    </row>
    <row r="27" spans="2:12" ht="12.75">
      <c r="B27" s="88"/>
      <c r="C27" s="16" t="s">
        <v>4</v>
      </c>
      <c r="D27" s="9" t="s">
        <v>5</v>
      </c>
      <c r="E27" s="9"/>
      <c r="F27" s="9"/>
      <c r="G27" s="9"/>
      <c r="H27" s="9"/>
      <c r="I27" s="9"/>
      <c r="J27" s="21">
        <v>20</v>
      </c>
      <c r="K27" s="21">
        <f>$H$10*J27</f>
        <v>683333.3333333335</v>
      </c>
      <c r="L27" s="22"/>
    </row>
    <row r="28" spans="2:12" ht="12.75">
      <c r="B28" s="88"/>
      <c r="C28" s="16" t="s">
        <v>6</v>
      </c>
      <c r="D28" s="9" t="s">
        <v>140</v>
      </c>
      <c r="E28" s="9"/>
      <c r="F28" s="9"/>
      <c r="G28" s="9"/>
      <c r="H28" s="9"/>
      <c r="I28" s="9"/>
      <c r="J28" s="21">
        <v>100</v>
      </c>
      <c r="K28" s="21">
        <f>$H$11*J28</f>
        <v>4666666.666666667</v>
      </c>
      <c r="L28" s="22"/>
    </row>
    <row r="29" spans="2:12" ht="12.75">
      <c r="B29" s="88"/>
      <c r="C29" s="16" t="s">
        <v>7</v>
      </c>
      <c r="D29" s="9" t="s">
        <v>141</v>
      </c>
      <c r="E29" s="9"/>
      <c r="F29" s="9"/>
      <c r="G29" s="9"/>
      <c r="H29" s="9"/>
      <c r="I29" s="9"/>
      <c r="J29" s="21">
        <v>100</v>
      </c>
      <c r="K29" s="21">
        <f>$H$12*J29</f>
        <v>1333333.3333333335</v>
      </c>
      <c r="L29" s="22"/>
    </row>
    <row r="30" spans="2:12" ht="12.75">
      <c r="B30" s="88"/>
      <c r="C30" s="16" t="s">
        <v>8</v>
      </c>
      <c r="D30" s="9" t="s">
        <v>142</v>
      </c>
      <c r="E30" s="9"/>
      <c r="F30" s="9"/>
      <c r="G30" s="9"/>
      <c r="H30" s="9"/>
      <c r="I30" s="9"/>
      <c r="J30" s="21">
        <v>20</v>
      </c>
      <c r="K30" s="21">
        <f>$H$13*J30</f>
        <v>73333.33333333334</v>
      </c>
      <c r="L30" s="22"/>
    </row>
    <row r="31" spans="2:12" ht="12.75">
      <c r="B31" s="88"/>
      <c r="C31" s="16" t="s">
        <v>10</v>
      </c>
      <c r="D31" s="9" t="s">
        <v>9</v>
      </c>
      <c r="E31" s="9"/>
      <c r="F31" s="9"/>
      <c r="G31" s="9"/>
      <c r="H31" s="9"/>
      <c r="I31" s="9"/>
      <c r="J31" s="21">
        <v>20</v>
      </c>
      <c r="K31" s="21">
        <f>$H$14*J31</f>
        <v>220000</v>
      </c>
      <c r="L31" s="22"/>
    </row>
    <row r="32" spans="2:12" ht="12.75">
      <c r="B32" s="88"/>
      <c r="C32" s="16" t="s">
        <v>166</v>
      </c>
      <c r="D32" s="93" t="s">
        <v>167</v>
      </c>
      <c r="E32" s="9"/>
      <c r="F32" s="9"/>
      <c r="G32" s="9"/>
      <c r="H32" s="9"/>
      <c r="I32" s="9"/>
      <c r="J32" s="21">
        <v>30</v>
      </c>
      <c r="K32" s="21">
        <f>$H$14*J32</f>
        <v>330000</v>
      </c>
      <c r="L32" s="22"/>
    </row>
    <row r="33" spans="2:12" ht="12.75">
      <c r="B33" s="88"/>
      <c r="C33" s="16"/>
      <c r="D33" s="9"/>
      <c r="E33" s="9" t="s">
        <v>27</v>
      </c>
      <c r="F33" s="9"/>
      <c r="G33" s="9"/>
      <c r="H33" s="9"/>
      <c r="I33" s="9"/>
      <c r="J33" s="9"/>
      <c r="K33" s="9"/>
      <c r="L33" s="22">
        <f>SUM(K26:K32)</f>
        <v>7306666.666666667</v>
      </c>
    </row>
    <row r="34" spans="2:12" ht="12.75">
      <c r="B34" s="88"/>
      <c r="C34" s="16"/>
      <c r="D34" s="9"/>
      <c r="E34" s="9"/>
      <c r="F34" s="9"/>
      <c r="G34" s="9"/>
      <c r="H34" s="9"/>
      <c r="I34" s="9"/>
      <c r="J34" s="9"/>
      <c r="K34" s="9"/>
      <c r="L34" s="10"/>
    </row>
    <row r="35" spans="2:12" ht="12.75">
      <c r="B35" s="88" t="s">
        <v>41</v>
      </c>
      <c r="C35" s="29" t="s">
        <v>28</v>
      </c>
      <c r="D35" s="9"/>
      <c r="E35" s="9"/>
      <c r="F35" s="9"/>
      <c r="G35" s="9"/>
      <c r="H35" s="9"/>
      <c r="I35" s="9"/>
      <c r="J35" s="9"/>
      <c r="K35" s="9"/>
      <c r="L35" s="27">
        <f>SUM(L17:L34)</f>
        <v>39723166.666666664</v>
      </c>
    </row>
    <row r="36" spans="2:12" ht="12.75">
      <c r="B36" s="88"/>
      <c r="C36" s="16"/>
      <c r="D36" s="9"/>
      <c r="E36" s="9"/>
      <c r="F36" s="9"/>
      <c r="G36" s="9"/>
      <c r="H36" s="9"/>
      <c r="I36" s="9"/>
      <c r="J36" s="17" t="s">
        <v>37</v>
      </c>
      <c r="K36" s="9"/>
      <c r="L36" s="10"/>
    </row>
    <row r="37" spans="2:12" ht="12.75">
      <c r="B37" s="88" t="s">
        <v>42</v>
      </c>
      <c r="C37" s="16" t="s">
        <v>29</v>
      </c>
      <c r="D37" s="9"/>
      <c r="E37" s="9"/>
      <c r="F37" s="9"/>
      <c r="G37" s="9"/>
      <c r="H37" s="9"/>
      <c r="I37" s="9"/>
      <c r="K37" s="9"/>
      <c r="L37" s="10"/>
    </row>
    <row r="38" spans="2:12" ht="12.75">
      <c r="B38" s="88"/>
      <c r="C38" s="16" t="s">
        <v>30</v>
      </c>
      <c r="D38" s="9"/>
      <c r="E38" s="9"/>
      <c r="F38" s="9"/>
      <c r="G38" s="9"/>
      <c r="H38" s="9"/>
      <c r="I38" s="9"/>
      <c r="J38" s="85">
        <v>0.0075</v>
      </c>
      <c r="K38" s="21">
        <f>SUM($L$35*J38)</f>
        <v>297923.74999999994</v>
      </c>
      <c r="L38" s="22"/>
    </row>
    <row r="39" spans="2:12" ht="12.75">
      <c r="B39" s="88"/>
      <c r="C39" s="16" t="s">
        <v>33</v>
      </c>
      <c r="D39" s="9" t="s">
        <v>143</v>
      </c>
      <c r="E39" s="9"/>
      <c r="F39" s="9"/>
      <c r="G39" s="9"/>
      <c r="H39" s="9"/>
      <c r="I39" s="9"/>
      <c r="J39" s="85">
        <v>0.11</v>
      </c>
      <c r="K39" s="21">
        <f>SUM($L$35*J39)</f>
        <v>4369548.333333333</v>
      </c>
      <c r="L39" s="22"/>
    </row>
    <row r="40" spans="2:12" ht="12.75">
      <c r="B40" s="88"/>
      <c r="C40" s="16" t="s">
        <v>31</v>
      </c>
      <c r="D40" s="9" t="s">
        <v>32</v>
      </c>
      <c r="E40" s="9"/>
      <c r="F40" s="9"/>
      <c r="G40" s="9"/>
      <c r="H40" s="9"/>
      <c r="I40" s="9"/>
      <c r="J40" s="85">
        <v>0.03</v>
      </c>
      <c r="K40" s="21">
        <f>SUM($L$35*J40)</f>
        <v>1191694.9999999998</v>
      </c>
      <c r="L40" s="22"/>
    </row>
    <row r="41" spans="2:12" ht="12.75">
      <c r="B41" s="88"/>
      <c r="C41" s="16" t="s">
        <v>84</v>
      </c>
      <c r="D41" s="9" t="s">
        <v>144</v>
      </c>
      <c r="E41" s="9"/>
      <c r="F41" s="9"/>
      <c r="G41" s="9"/>
      <c r="H41" s="9"/>
      <c r="I41" s="9"/>
      <c r="J41" s="85">
        <v>0.2</v>
      </c>
      <c r="K41" s="21">
        <f>SUM($L$35*J41)</f>
        <v>7944633.333333333</v>
      </c>
      <c r="L41" s="22"/>
    </row>
    <row r="42" spans="2:12" ht="12.75">
      <c r="B42" s="88"/>
      <c r="C42" s="16"/>
      <c r="D42" s="9"/>
      <c r="E42" s="9" t="s">
        <v>34</v>
      </c>
      <c r="F42" s="9"/>
      <c r="G42" s="9"/>
      <c r="H42" s="9"/>
      <c r="I42" s="9"/>
      <c r="J42" s="9"/>
      <c r="K42" s="21"/>
      <c r="L42" s="22">
        <f>SUM(K37:K41)</f>
        <v>13803800.416666666</v>
      </c>
    </row>
    <row r="43" spans="2:12" ht="12.75">
      <c r="B43" s="88"/>
      <c r="C43" s="16"/>
      <c r="D43" s="9"/>
      <c r="E43" s="9"/>
      <c r="F43" s="9"/>
      <c r="G43" s="9"/>
      <c r="H43" s="9"/>
      <c r="I43" s="9"/>
      <c r="J43" s="9"/>
      <c r="K43" s="9"/>
      <c r="L43" s="10"/>
    </row>
    <row r="44" spans="2:12" ht="12.75">
      <c r="B44" s="88" t="s">
        <v>43</v>
      </c>
      <c r="C44" s="29" t="s">
        <v>35</v>
      </c>
      <c r="D44" s="9"/>
      <c r="E44" s="9"/>
      <c r="F44" s="9"/>
      <c r="G44" s="9"/>
      <c r="H44" s="9"/>
      <c r="I44" s="9"/>
      <c r="J44" s="21"/>
      <c r="K44" s="21"/>
      <c r="L44" s="27">
        <f>SUM(L35,L42)</f>
        <v>53526967.08333333</v>
      </c>
    </row>
    <row r="45" spans="2:12" ht="12.75">
      <c r="B45" s="88"/>
      <c r="C45" s="16"/>
      <c r="D45" s="9"/>
      <c r="E45" s="9"/>
      <c r="F45" s="9"/>
      <c r="G45" s="9"/>
      <c r="H45" s="9"/>
      <c r="I45" s="9"/>
      <c r="J45" s="17" t="s">
        <v>47</v>
      </c>
      <c r="K45" s="9"/>
      <c r="L45" s="10"/>
    </row>
    <row r="46" spans="2:12" ht="12.75">
      <c r="B46" s="88" t="s">
        <v>44</v>
      </c>
      <c r="C46" s="16" t="s">
        <v>146</v>
      </c>
      <c r="D46" s="9"/>
      <c r="E46" s="9"/>
      <c r="F46" s="9"/>
      <c r="G46" s="9"/>
      <c r="H46" s="9"/>
      <c r="I46" s="9"/>
      <c r="J46" s="9"/>
      <c r="K46" s="9"/>
      <c r="L46" s="10"/>
    </row>
    <row r="47" spans="2:12" ht="12.75">
      <c r="B47" s="88"/>
      <c r="C47" s="16" t="s">
        <v>4</v>
      </c>
      <c r="D47" s="9" t="s">
        <v>153</v>
      </c>
      <c r="E47" s="9"/>
      <c r="F47" s="9"/>
      <c r="G47" s="9"/>
      <c r="H47" s="9"/>
      <c r="I47" s="9"/>
      <c r="J47" s="21">
        <v>27</v>
      </c>
      <c r="K47" s="21">
        <f>SUM($F$10*J47)</f>
        <v>553500</v>
      </c>
      <c r="L47" s="22"/>
    </row>
    <row r="48" spans="2:12" ht="12.75">
      <c r="B48" s="88"/>
      <c r="C48" s="16" t="s">
        <v>6</v>
      </c>
      <c r="D48" s="9" t="s">
        <v>151</v>
      </c>
      <c r="E48" s="9"/>
      <c r="F48" s="9"/>
      <c r="G48" s="9"/>
      <c r="H48" s="9"/>
      <c r="I48" s="9"/>
      <c r="J48" s="21">
        <v>18</v>
      </c>
      <c r="K48" s="21">
        <f>SUM($F$10*J48)</f>
        <v>369000</v>
      </c>
      <c r="L48" s="22"/>
    </row>
    <row r="49" spans="2:12" ht="12.75">
      <c r="B49" s="88"/>
      <c r="C49" s="16" t="s">
        <v>7</v>
      </c>
      <c r="D49" s="9" t="s">
        <v>152</v>
      </c>
      <c r="E49" s="9"/>
      <c r="F49" s="9"/>
      <c r="G49" s="9"/>
      <c r="H49" s="9"/>
      <c r="I49" s="9"/>
      <c r="J49" s="21">
        <v>7</v>
      </c>
      <c r="K49" s="21">
        <f>SUM($F$10*J49)</f>
        <v>143500</v>
      </c>
      <c r="L49" s="22"/>
    </row>
    <row r="50" spans="2:12" ht="12.75">
      <c r="B50" s="88"/>
      <c r="C50" s="16" t="s">
        <v>8</v>
      </c>
      <c r="D50" s="9" t="s">
        <v>142</v>
      </c>
      <c r="E50" s="9"/>
      <c r="F50" s="9"/>
      <c r="G50" s="9"/>
      <c r="H50" s="9"/>
      <c r="I50" s="9"/>
      <c r="J50" s="21">
        <v>5</v>
      </c>
      <c r="K50" s="21">
        <f>SUM($F$10*J50)</f>
        <v>102500</v>
      </c>
      <c r="L50" s="22"/>
    </row>
    <row r="51" spans="2:12" ht="12.75">
      <c r="B51" s="88"/>
      <c r="C51" s="16" t="s">
        <v>10</v>
      </c>
      <c r="D51" s="9" t="s">
        <v>9</v>
      </c>
      <c r="E51" s="9"/>
      <c r="F51" s="9"/>
      <c r="G51" s="9"/>
      <c r="H51" s="9"/>
      <c r="I51" s="9"/>
      <c r="J51" s="21">
        <v>5</v>
      </c>
      <c r="K51" s="21">
        <f>SUM($F$10*J51)</f>
        <v>102500</v>
      </c>
      <c r="L51" s="22"/>
    </row>
    <row r="52" spans="2:12" ht="12.75">
      <c r="B52" s="88"/>
      <c r="C52" s="16" t="s">
        <v>166</v>
      </c>
      <c r="D52" s="93" t="s">
        <v>167</v>
      </c>
      <c r="E52" s="9"/>
      <c r="F52" s="9"/>
      <c r="G52" s="9"/>
      <c r="H52" s="9"/>
      <c r="I52" s="9"/>
      <c r="J52" s="21">
        <v>30</v>
      </c>
      <c r="K52" s="21">
        <f>$H$14*J52</f>
        <v>330000</v>
      </c>
      <c r="L52" s="22"/>
    </row>
    <row r="53" spans="2:12" ht="12.75">
      <c r="B53" s="88"/>
      <c r="C53" s="16"/>
      <c r="D53" s="9"/>
      <c r="E53" s="9" t="s">
        <v>46</v>
      </c>
      <c r="F53" s="9"/>
      <c r="G53" s="9"/>
      <c r="H53" s="9"/>
      <c r="I53" s="9"/>
      <c r="J53" s="21"/>
      <c r="K53" s="21"/>
      <c r="L53" s="22">
        <f>SUM(K46:K52)</f>
        <v>1601000</v>
      </c>
    </row>
    <row r="54" spans="2:12" ht="12.75">
      <c r="B54" s="88"/>
      <c r="C54" s="16"/>
      <c r="D54" s="9"/>
      <c r="E54" s="9"/>
      <c r="F54" s="9"/>
      <c r="G54" s="9"/>
      <c r="H54" s="9"/>
      <c r="I54" s="9"/>
      <c r="J54" s="21"/>
      <c r="K54" s="21"/>
      <c r="L54" s="22"/>
    </row>
    <row r="55" spans="2:12" ht="12.75">
      <c r="B55" s="88" t="s">
        <v>45</v>
      </c>
      <c r="C55" s="16" t="s">
        <v>150</v>
      </c>
      <c r="D55" s="9"/>
      <c r="E55" s="9"/>
      <c r="F55" s="9"/>
      <c r="G55" s="9"/>
      <c r="H55" s="9"/>
      <c r="I55" s="9"/>
      <c r="J55" s="21"/>
      <c r="K55" s="21"/>
      <c r="L55" s="22">
        <f>SUM(L44,L53)</f>
        <v>55127967.08333333</v>
      </c>
    </row>
    <row r="56" spans="2:12" ht="13.5" thickBot="1">
      <c r="B56" s="88" t="s">
        <v>148</v>
      </c>
      <c r="C56" s="16" t="s">
        <v>169</v>
      </c>
      <c r="D56" s="9"/>
      <c r="E56" s="9"/>
      <c r="F56" s="9"/>
      <c r="G56" s="9"/>
      <c r="H56" s="9"/>
      <c r="I56" s="9"/>
      <c r="J56" s="21"/>
      <c r="K56" s="21"/>
      <c r="L56" s="90">
        <f>SUM(L55*0.08)</f>
        <v>4410237.366666666</v>
      </c>
    </row>
    <row r="57" spans="1:12" ht="13.5" thickTop="1">
      <c r="A57" s="10"/>
      <c r="B57" s="89" t="s">
        <v>149</v>
      </c>
      <c r="C57" s="28" t="s">
        <v>170</v>
      </c>
      <c r="D57" s="23"/>
      <c r="E57" s="23"/>
      <c r="F57" s="23"/>
      <c r="G57" s="23"/>
      <c r="H57" s="23"/>
      <c r="I57" s="23"/>
      <c r="J57" s="24"/>
      <c r="K57" s="24"/>
      <c r="L57" s="26">
        <f>SUM(L55:L56)</f>
        <v>59538204.449999996</v>
      </c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50"/>
  <sheetViews>
    <sheetView workbookViewId="0" topLeftCell="A1">
      <selection activeCell="L35" sqref="L35"/>
    </sheetView>
  </sheetViews>
  <sheetFormatPr defaultColWidth="9.140625" defaultRowHeight="12.75"/>
  <cols>
    <col min="1" max="1" width="1.421875" style="0" customWidth="1"/>
    <col min="2" max="2" width="2.8515625" style="0" customWidth="1"/>
    <col min="3" max="3" width="3.7109375" style="0" customWidth="1"/>
    <col min="4" max="4" width="4.421875" style="0" customWidth="1"/>
    <col min="7" max="7" width="5.421875" style="0" customWidth="1"/>
    <col min="8" max="8" width="10.7109375" style="0" customWidth="1"/>
    <col min="9" max="9" width="14.28125" style="0" customWidth="1"/>
    <col min="10" max="10" width="10.57421875" style="0" customWidth="1"/>
    <col min="11" max="11" width="1.8515625" style="0" customWidth="1"/>
    <col min="12" max="12" width="13.421875" style="0" customWidth="1"/>
  </cols>
  <sheetData>
    <row r="1" ht="6" customHeight="1"/>
    <row r="2" ht="12.75">
      <c r="H2" s="1" t="s">
        <v>72</v>
      </c>
    </row>
    <row r="4" spans="2:5" ht="12.75">
      <c r="B4" t="s">
        <v>50</v>
      </c>
      <c r="E4" t="s">
        <v>51</v>
      </c>
    </row>
    <row r="5" ht="12.75">
      <c r="E5" t="s">
        <v>53</v>
      </c>
    </row>
    <row r="6" ht="12.75">
      <c r="E6" t="s">
        <v>25</v>
      </c>
    </row>
    <row r="7" ht="12.75">
      <c r="E7" t="s">
        <v>54</v>
      </c>
    </row>
    <row r="9" spans="2:13" ht="12.75">
      <c r="B9" t="s">
        <v>52</v>
      </c>
      <c r="K9" s="4"/>
      <c r="L9" s="4"/>
      <c r="M9" s="4"/>
    </row>
    <row r="10" spans="11:13" ht="12.75">
      <c r="K10" s="4"/>
      <c r="L10" s="4"/>
      <c r="M10" s="4"/>
    </row>
    <row r="11" spans="2:13" ht="12.75">
      <c r="B11" t="s">
        <v>55</v>
      </c>
      <c r="K11" s="4"/>
      <c r="L11" s="4"/>
      <c r="M11" s="4"/>
    </row>
    <row r="12" spans="2:13" ht="12.75">
      <c r="B12" s="2"/>
      <c r="K12" s="4"/>
      <c r="L12" s="4"/>
      <c r="M12" s="4"/>
    </row>
    <row r="13" spans="2:13" ht="12.75">
      <c r="B13" s="2" t="s">
        <v>38</v>
      </c>
      <c r="D13" t="s">
        <v>56</v>
      </c>
      <c r="K13" s="4"/>
      <c r="M13" s="4"/>
    </row>
    <row r="14" spans="2:13" ht="12.75">
      <c r="B14" s="2"/>
      <c r="D14" t="s">
        <v>57</v>
      </c>
      <c r="K14" s="4"/>
      <c r="L14" s="4">
        <f>SUM(OutlayEstimate!L18+OutlayEstimate!L33+OutlayEstimate!K41-L16)</f>
        <v>37996300</v>
      </c>
      <c r="M14" s="4"/>
    </row>
    <row r="15" spans="2:13" ht="12.75">
      <c r="B15" s="2"/>
      <c r="K15" s="4"/>
      <c r="L15" s="4"/>
      <c r="M15" s="4"/>
    </row>
    <row r="16" spans="2:13" ht="12.75">
      <c r="B16" s="2"/>
      <c r="D16" t="s">
        <v>59</v>
      </c>
      <c r="E16" t="s">
        <v>58</v>
      </c>
      <c r="K16" s="4"/>
      <c r="L16" s="4">
        <v>2500000</v>
      </c>
      <c r="M16" s="4"/>
    </row>
    <row r="17" spans="2:13" ht="12.75">
      <c r="B17" s="2"/>
      <c r="K17" s="4"/>
      <c r="L17" s="4"/>
      <c r="M17" s="4"/>
    </row>
    <row r="18" spans="2:13" ht="12.75">
      <c r="B18" s="2" t="s">
        <v>39</v>
      </c>
      <c r="D18" t="s">
        <v>60</v>
      </c>
      <c r="K18" s="4"/>
      <c r="M18" s="4"/>
    </row>
    <row r="19" spans="2:13" ht="12.75">
      <c r="B19" s="2"/>
      <c r="D19" t="s">
        <v>61</v>
      </c>
      <c r="K19" s="4"/>
      <c r="L19" s="4">
        <f>OutlayEstimate!K22</f>
        <v>341500</v>
      </c>
      <c r="M19" s="4"/>
    </row>
    <row r="20" spans="2:13" ht="12.75">
      <c r="B20" s="2"/>
      <c r="K20" s="4"/>
      <c r="L20" s="4"/>
      <c r="M20" s="4"/>
    </row>
    <row r="21" spans="2:13" ht="12.75">
      <c r="B21" s="2" t="s">
        <v>40</v>
      </c>
      <c r="D21" t="s">
        <v>62</v>
      </c>
      <c r="K21" s="4"/>
      <c r="L21" s="4">
        <f>SUM(OutlayEstimate!K21+OutlayEstimate!K23)</f>
        <v>6830000.000000001</v>
      </c>
      <c r="M21" s="4"/>
    </row>
    <row r="22" spans="2:13" ht="12.75">
      <c r="B22" s="2"/>
      <c r="K22" s="4"/>
      <c r="L22" s="4"/>
      <c r="M22" s="4"/>
    </row>
    <row r="23" spans="2:13" ht="12.75">
      <c r="B23" s="2" t="s">
        <v>41</v>
      </c>
      <c r="D23" t="s">
        <v>63</v>
      </c>
      <c r="K23" s="4"/>
      <c r="M23" s="4"/>
    </row>
    <row r="24" spans="4:13" ht="12.75">
      <c r="D24" s="2" t="s">
        <v>64</v>
      </c>
      <c r="K24" s="4"/>
      <c r="L24" s="4"/>
      <c r="M24" s="4"/>
    </row>
    <row r="25" spans="4:13" ht="12.75">
      <c r="D25" s="2" t="s">
        <v>65</v>
      </c>
      <c r="K25" s="4"/>
      <c r="L25" s="4">
        <f>OutlayEstimate!L53</f>
        <v>1601000</v>
      </c>
      <c r="M25" s="4"/>
    </row>
    <row r="26" spans="2:13" ht="12.75">
      <c r="B26" s="2"/>
      <c r="K26" s="4"/>
      <c r="L26" s="4"/>
      <c r="M26" s="4"/>
    </row>
    <row r="27" spans="2:13" ht="12.75">
      <c r="B27" s="2" t="s">
        <v>42</v>
      </c>
      <c r="D27" t="s">
        <v>66</v>
      </c>
      <c r="K27" s="4"/>
      <c r="L27" s="4"/>
      <c r="M27" s="4"/>
    </row>
    <row r="28" spans="2:13" ht="12.75">
      <c r="B28" s="2"/>
      <c r="D28" t="s">
        <v>67</v>
      </c>
      <c r="K28" s="4"/>
      <c r="L28" s="4">
        <f>SUM(OutlayEstimate!K39+OutlayEstimate!K38)</f>
        <v>4667472.083333333</v>
      </c>
      <c r="M28" s="4"/>
    </row>
    <row r="29" spans="2:13" ht="12.75">
      <c r="B29" s="2"/>
      <c r="K29" s="4"/>
      <c r="L29" s="4"/>
      <c r="M29" s="4"/>
    </row>
    <row r="30" spans="2:13" ht="12.75">
      <c r="B30" s="2" t="s">
        <v>69</v>
      </c>
      <c r="D30" t="s">
        <v>68</v>
      </c>
      <c r="K30" s="4"/>
      <c r="L30" s="4">
        <f>OutlayEstimate!K40</f>
        <v>1191694.9999999998</v>
      </c>
      <c r="M30" s="4"/>
    </row>
    <row r="31" spans="2:13" ht="12.75">
      <c r="B31" s="2"/>
      <c r="K31" s="4"/>
      <c r="L31" s="4"/>
      <c r="M31" s="4"/>
    </row>
    <row r="32" spans="2:13" ht="12.75">
      <c r="B32" s="2" t="s">
        <v>44</v>
      </c>
      <c r="D32" t="s">
        <v>76</v>
      </c>
      <c r="H32" s="37" t="s">
        <v>85</v>
      </c>
      <c r="I32" s="38">
        <v>2003</v>
      </c>
      <c r="K32" s="4"/>
      <c r="L32" s="35">
        <f>SUM(L13:L31)</f>
        <v>55127967.083333336</v>
      </c>
      <c r="M32" s="4"/>
    </row>
    <row r="33" spans="2:13" ht="12.75">
      <c r="B33" s="2"/>
      <c r="H33" s="36" t="s">
        <v>70</v>
      </c>
      <c r="I33" t="s">
        <v>71</v>
      </c>
      <c r="K33" s="4"/>
      <c r="L33" s="4"/>
      <c r="M33" s="4"/>
    </row>
    <row r="34" spans="2:13" ht="7.5" customHeight="1">
      <c r="B34" s="2"/>
      <c r="K34" s="4"/>
      <c r="L34" s="4"/>
      <c r="M34" s="4"/>
    </row>
    <row r="35" spans="2:12" ht="12.75">
      <c r="B35" t="s">
        <v>171</v>
      </c>
      <c r="L35" s="4">
        <f>OutlayEstimate!L56</f>
        <v>4410237.366666666</v>
      </c>
    </row>
    <row r="36" ht="12.75">
      <c r="L36" s="4"/>
    </row>
    <row r="37" spans="2:12" ht="12.75">
      <c r="B37" s="29" t="s">
        <v>170</v>
      </c>
      <c r="L37" s="35">
        <f>OutlayEstimate!L57</f>
        <v>59538204.449999996</v>
      </c>
    </row>
    <row r="38" spans="2:13" ht="7.5" customHeight="1">
      <c r="B38" s="2"/>
      <c r="K38" s="4"/>
      <c r="L38" s="4"/>
      <c r="M38" s="4"/>
    </row>
    <row r="39" spans="2:13" ht="12.75">
      <c r="B39" s="33" t="s">
        <v>74</v>
      </c>
      <c r="H39" s="3">
        <f>OutlayEstimate!F17</f>
        <v>70300</v>
      </c>
      <c r="K39" s="4"/>
      <c r="L39" s="4"/>
      <c r="M39" s="4"/>
    </row>
    <row r="40" spans="2:13" ht="12.75">
      <c r="B40" s="33" t="s">
        <v>75</v>
      </c>
      <c r="H40" s="3">
        <f>OutlayEstimate!H17</f>
        <v>113833.33333333334</v>
      </c>
      <c r="J40" s="34" t="s">
        <v>80</v>
      </c>
      <c r="K40" s="4"/>
      <c r="L40" s="4">
        <f>SUM(L37/H40)</f>
        <v>523.0296144948754</v>
      </c>
      <c r="M40" s="4"/>
    </row>
    <row r="41" spans="2:13" ht="12.75">
      <c r="B41" s="33" t="s">
        <v>73</v>
      </c>
      <c r="H41" s="3">
        <v>1385600</v>
      </c>
      <c r="J41" s="34" t="s">
        <v>81</v>
      </c>
      <c r="K41" s="4"/>
      <c r="L41" s="4">
        <f>SUM(L37/H41)</f>
        <v>42.969258407909926</v>
      </c>
      <c r="M41" s="4"/>
    </row>
    <row r="42" spans="2:13" ht="12.75">
      <c r="B42" s="33" t="s">
        <v>77</v>
      </c>
      <c r="H42" s="39">
        <f>SUM(H39/H40)</f>
        <v>0.6175695461200585</v>
      </c>
      <c r="J42" s="34"/>
      <c r="K42" s="4"/>
      <c r="L42" s="4"/>
      <c r="M42" s="4"/>
    </row>
    <row r="43" spans="2:13" ht="12.75">
      <c r="B43" s="33" t="s">
        <v>78</v>
      </c>
      <c r="H43" s="3">
        <f>SpaceProgram!F60</f>
        <v>1451</v>
      </c>
      <c r="J43" s="34" t="s">
        <v>82</v>
      </c>
      <c r="K43" s="4"/>
      <c r="L43" s="4">
        <f>SUM(L37/H43)</f>
        <v>41032.53235699517</v>
      </c>
      <c r="M43" s="4"/>
    </row>
    <row r="44" spans="2:13" ht="12.75">
      <c r="B44" s="33" t="s">
        <v>79</v>
      </c>
      <c r="H44" s="3">
        <v>475</v>
      </c>
      <c r="K44" s="4"/>
      <c r="L44" s="4"/>
      <c r="M44" s="4"/>
    </row>
    <row r="45" ht="7.5" customHeight="1">
      <c r="L45" s="4"/>
    </row>
    <row r="46" spans="2:12" ht="12.75">
      <c r="B46" s="34" t="s">
        <v>83</v>
      </c>
      <c r="L46" s="4"/>
    </row>
    <row r="47" ht="5.25" customHeight="1">
      <c r="L47" s="4"/>
    </row>
    <row r="48" ht="12.75">
      <c r="L48" s="4"/>
    </row>
    <row r="49" ht="12.75">
      <c r="L49" s="4"/>
    </row>
    <row r="50" spans="2:12" ht="12.75">
      <c r="B50" s="29"/>
      <c r="L50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0"/>
  <sheetViews>
    <sheetView workbookViewId="0" topLeftCell="A1">
      <selection activeCell="H15" sqref="H15"/>
    </sheetView>
  </sheetViews>
  <sheetFormatPr defaultColWidth="9.140625" defaultRowHeight="12.75"/>
  <cols>
    <col min="1" max="1" width="3.140625" style="0" customWidth="1"/>
    <col min="2" max="2" width="3.421875" style="0" customWidth="1"/>
    <col min="3" max="3" width="42.7109375" style="0" customWidth="1"/>
    <col min="4" max="4" width="7.8515625" style="0" customWidth="1"/>
    <col min="5" max="6" width="8.140625" style="0" customWidth="1"/>
    <col min="7" max="7" width="6.7109375" style="0" customWidth="1"/>
    <col min="8" max="8" width="8.140625" style="0" customWidth="1"/>
  </cols>
  <sheetData>
    <row r="1" ht="7.5" customHeight="1"/>
    <row r="2" spans="2:8" s="41" customFormat="1" ht="12">
      <c r="B2" s="94" t="s">
        <v>0</v>
      </c>
      <c r="C2" s="95"/>
      <c r="D2" s="95"/>
      <c r="E2" s="95"/>
      <c r="F2" s="95"/>
      <c r="G2" s="95"/>
      <c r="H2" s="96"/>
    </row>
    <row r="3" spans="2:8" s="41" customFormat="1" ht="12">
      <c r="B3" s="97" t="s">
        <v>25</v>
      </c>
      <c r="C3" s="98"/>
      <c r="D3" s="98"/>
      <c r="E3" s="98"/>
      <c r="F3" s="98"/>
      <c r="G3" s="98"/>
      <c r="H3" s="99"/>
    </row>
    <row r="4" spans="2:8" s="41" customFormat="1" ht="12">
      <c r="B4" s="66"/>
      <c r="C4" s="67" t="s">
        <v>86</v>
      </c>
      <c r="D4" s="40" t="s">
        <v>93</v>
      </c>
      <c r="E4" s="40" t="s">
        <v>95</v>
      </c>
      <c r="F4" s="40" t="s">
        <v>102</v>
      </c>
      <c r="G4" s="40" t="s">
        <v>97</v>
      </c>
      <c r="H4" s="84" t="s">
        <v>99</v>
      </c>
    </row>
    <row r="5" spans="2:8" s="41" customFormat="1" ht="12">
      <c r="B5" s="66"/>
      <c r="C5" s="68" t="s">
        <v>87</v>
      </c>
      <c r="D5" s="40" t="s">
        <v>94</v>
      </c>
      <c r="E5" s="40" t="s">
        <v>96</v>
      </c>
      <c r="F5" s="40" t="s">
        <v>95</v>
      </c>
      <c r="G5" s="40" t="s">
        <v>98</v>
      </c>
      <c r="H5" s="40" t="s">
        <v>100</v>
      </c>
    </row>
    <row r="6" spans="2:8" s="41" customFormat="1" ht="12">
      <c r="B6" s="42" t="s">
        <v>103</v>
      </c>
      <c r="C6" s="59"/>
      <c r="D6" s="43"/>
      <c r="E6" s="43"/>
      <c r="F6" s="43"/>
      <c r="G6" s="43"/>
      <c r="H6" s="44"/>
    </row>
    <row r="7" spans="2:8" s="41" customFormat="1" ht="12">
      <c r="B7" s="56"/>
      <c r="C7" s="69" t="s">
        <v>101</v>
      </c>
      <c r="D7" s="45">
        <v>1</v>
      </c>
      <c r="E7" s="45">
        <v>300</v>
      </c>
      <c r="F7" s="45">
        <f>SUM(D7*E7)</f>
        <v>300</v>
      </c>
      <c r="G7" s="45">
        <v>4500</v>
      </c>
      <c r="H7" s="45">
        <f>SUM(D7*G7)</f>
        <v>4500</v>
      </c>
    </row>
    <row r="8" spans="2:8" s="41" customFormat="1" ht="12">
      <c r="B8" s="56"/>
      <c r="C8" s="60" t="s">
        <v>101</v>
      </c>
      <c r="D8" s="45">
        <v>11</v>
      </c>
      <c r="E8" s="45">
        <v>60</v>
      </c>
      <c r="F8" s="45">
        <f>SUM(D8*E8)</f>
        <v>660</v>
      </c>
      <c r="G8" s="45">
        <v>1200</v>
      </c>
      <c r="H8" s="45">
        <f>SUM(D8*G8)</f>
        <v>13200</v>
      </c>
    </row>
    <row r="9" spans="2:8" s="41" customFormat="1" ht="12">
      <c r="B9" s="56"/>
      <c r="C9" s="60" t="s">
        <v>88</v>
      </c>
      <c r="D9" s="45">
        <v>2</v>
      </c>
      <c r="E9" s="45">
        <v>50</v>
      </c>
      <c r="F9" s="45">
        <f>SUM(D9*E9)</f>
        <v>100</v>
      </c>
      <c r="G9" s="45">
        <v>1000</v>
      </c>
      <c r="H9" s="45">
        <f>SUM(D9*G9)</f>
        <v>2000</v>
      </c>
    </row>
    <row r="10" spans="2:8" s="41" customFormat="1" ht="12">
      <c r="B10" s="56"/>
      <c r="C10" s="70" t="s">
        <v>89</v>
      </c>
      <c r="D10" s="45">
        <v>2</v>
      </c>
      <c r="E10" s="45">
        <v>20</v>
      </c>
      <c r="F10" s="45">
        <f>SUM(D10*E10)</f>
        <v>40</v>
      </c>
      <c r="G10" s="45">
        <v>400</v>
      </c>
      <c r="H10" s="45">
        <f>SUM(D10*G10)</f>
        <v>800</v>
      </c>
    </row>
    <row r="11" spans="2:8" s="41" customFormat="1" ht="12">
      <c r="B11" s="50"/>
      <c r="C11" s="75" t="s">
        <v>128</v>
      </c>
      <c r="D11" s="46"/>
      <c r="E11" s="43"/>
      <c r="F11" s="82">
        <f>SUM(F6:F10)</f>
        <v>1100</v>
      </c>
      <c r="G11" s="43"/>
      <c r="H11" s="83">
        <f>SUM(H6:H10)</f>
        <v>20500</v>
      </c>
    </row>
    <row r="12" spans="2:8" s="41" customFormat="1" ht="12">
      <c r="B12" s="47"/>
      <c r="C12" s="58"/>
      <c r="D12" s="48"/>
      <c r="E12" s="48"/>
      <c r="F12" s="48"/>
      <c r="G12" s="48"/>
      <c r="H12" s="49"/>
    </row>
    <row r="13" spans="2:8" s="41" customFormat="1" ht="12">
      <c r="B13" s="62" t="s">
        <v>104</v>
      </c>
      <c r="C13" s="63"/>
      <c r="D13" s="64"/>
      <c r="E13" s="64"/>
      <c r="F13" s="64"/>
      <c r="G13" s="64"/>
      <c r="H13" s="65"/>
    </row>
    <row r="14" spans="2:8" s="41" customFormat="1" ht="12">
      <c r="B14" s="42"/>
      <c r="C14" s="59" t="s">
        <v>108</v>
      </c>
      <c r="D14" s="43"/>
      <c r="E14" s="43"/>
      <c r="F14" s="43"/>
      <c r="G14" s="43"/>
      <c r="H14" s="44"/>
    </row>
    <row r="15" spans="2:8" s="41" customFormat="1" ht="12">
      <c r="B15" s="56"/>
      <c r="C15" s="60" t="s">
        <v>105</v>
      </c>
      <c r="D15" s="45">
        <v>1</v>
      </c>
      <c r="E15" s="45">
        <v>40</v>
      </c>
      <c r="F15" s="45">
        <f>SUM(D15*E15)</f>
        <v>40</v>
      </c>
      <c r="G15" s="45">
        <v>7000</v>
      </c>
      <c r="H15" s="45">
        <f aca="true" t="shared" si="0" ref="H15:H21">SUM(D15*G15)</f>
        <v>7000</v>
      </c>
    </row>
    <row r="16" spans="2:8" s="41" customFormat="1" ht="12">
      <c r="B16" s="56"/>
      <c r="C16" s="60" t="s">
        <v>106</v>
      </c>
      <c r="D16" s="45">
        <v>1</v>
      </c>
      <c r="E16" s="45">
        <v>40</v>
      </c>
      <c r="F16" s="45">
        <f>SUM(D16*E16)</f>
        <v>40</v>
      </c>
      <c r="G16" s="45">
        <v>7000</v>
      </c>
      <c r="H16" s="45">
        <f t="shared" si="0"/>
        <v>7000</v>
      </c>
    </row>
    <row r="17" spans="2:8" s="41" customFormat="1" ht="12">
      <c r="B17" s="56"/>
      <c r="C17" s="60" t="s">
        <v>110</v>
      </c>
      <c r="D17" s="71">
        <v>1.5</v>
      </c>
      <c r="E17" s="45">
        <v>40</v>
      </c>
      <c r="F17" s="45">
        <f>SUM(D17*E17)</f>
        <v>60</v>
      </c>
      <c r="G17" s="45">
        <v>7000</v>
      </c>
      <c r="H17" s="45">
        <f t="shared" si="0"/>
        <v>10500</v>
      </c>
    </row>
    <row r="18" spans="2:8" s="41" customFormat="1" ht="12">
      <c r="B18" s="56"/>
      <c r="C18" s="60" t="s">
        <v>109</v>
      </c>
      <c r="D18" s="71">
        <v>0.5</v>
      </c>
      <c r="E18" s="45">
        <v>40</v>
      </c>
      <c r="F18" s="45">
        <f>SUM(D18*E18)</f>
        <v>20</v>
      </c>
      <c r="G18" s="45">
        <v>7000</v>
      </c>
      <c r="H18" s="45">
        <f t="shared" si="0"/>
        <v>3500</v>
      </c>
    </row>
    <row r="19" spans="2:8" s="41" customFormat="1" ht="12">
      <c r="B19" s="42"/>
      <c r="C19" s="46" t="s">
        <v>92</v>
      </c>
      <c r="D19" s="46"/>
      <c r="E19" s="43"/>
      <c r="F19" s="43">
        <f>SUM(F14:F18)</f>
        <v>160</v>
      </c>
      <c r="G19" s="43"/>
      <c r="H19" s="44">
        <f>SUM(H14:H18)</f>
        <v>28000</v>
      </c>
    </row>
    <row r="20" spans="2:8" s="41" customFormat="1" ht="12">
      <c r="B20" s="42"/>
      <c r="C20" s="59" t="s">
        <v>107</v>
      </c>
      <c r="D20" s="43"/>
      <c r="E20" s="43"/>
      <c r="F20" s="43"/>
      <c r="G20" s="43"/>
      <c r="H20" s="44"/>
    </row>
    <row r="21" spans="2:8" s="41" customFormat="1" ht="12">
      <c r="B21" s="56"/>
      <c r="C21" s="60" t="s">
        <v>111</v>
      </c>
      <c r="D21" s="45">
        <v>1</v>
      </c>
      <c r="E21" s="45">
        <v>40</v>
      </c>
      <c r="F21" s="45">
        <f>SUM(D21*E21)</f>
        <v>40</v>
      </c>
      <c r="G21" s="45">
        <v>7000</v>
      </c>
      <c r="H21" s="45">
        <f t="shared" si="0"/>
        <v>7000</v>
      </c>
    </row>
    <row r="22" spans="2:8" s="41" customFormat="1" ht="12">
      <c r="B22" s="56"/>
      <c r="C22" s="60" t="s">
        <v>168</v>
      </c>
      <c r="D22" s="45">
        <v>1</v>
      </c>
      <c r="E22" s="45">
        <v>10</v>
      </c>
      <c r="F22" s="45">
        <f>SUM(D22*E22)</f>
        <v>10</v>
      </c>
      <c r="G22" s="45">
        <v>1000</v>
      </c>
      <c r="H22" s="45">
        <f>SUM(D22*G22)</f>
        <v>1000</v>
      </c>
    </row>
    <row r="23" spans="2:8" s="41" customFormat="1" ht="12">
      <c r="B23" s="50"/>
      <c r="C23" s="46" t="s">
        <v>92</v>
      </c>
      <c r="D23" s="46"/>
      <c r="E23" s="43"/>
      <c r="F23" s="43">
        <f>SUM(F20:F22)</f>
        <v>50</v>
      </c>
      <c r="G23" s="43"/>
      <c r="H23" s="44">
        <f>SUM(H20:H22)</f>
        <v>8000</v>
      </c>
    </row>
    <row r="24" spans="2:8" s="41" customFormat="1" ht="12">
      <c r="B24" s="50"/>
      <c r="C24" s="75" t="s">
        <v>127</v>
      </c>
      <c r="D24" s="46"/>
      <c r="E24" s="43"/>
      <c r="F24" s="82">
        <f>SUM(F19+F23)</f>
        <v>210</v>
      </c>
      <c r="G24" s="43"/>
      <c r="H24" s="83">
        <f>SUM(H19+H23)</f>
        <v>36000</v>
      </c>
    </row>
    <row r="25" spans="2:8" s="55" customFormat="1" ht="12">
      <c r="B25" s="53"/>
      <c r="C25" s="54"/>
      <c r="D25" s="54"/>
      <c r="E25" s="51"/>
      <c r="F25" s="51"/>
      <c r="G25" s="51"/>
      <c r="H25" s="52"/>
    </row>
    <row r="26" spans="2:8" s="41" customFormat="1" ht="12">
      <c r="B26" s="42" t="s">
        <v>90</v>
      </c>
      <c r="C26" s="59"/>
      <c r="D26" s="43"/>
      <c r="E26" s="43"/>
      <c r="F26" s="43"/>
      <c r="G26" s="43"/>
      <c r="H26" s="44"/>
    </row>
    <row r="27" spans="2:8" s="41" customFormat="1" ht="12">
      <c r="B27" s="42"/>
      <c r="C27" s="59" t="s">
        <v>139</v>
      </c>
      <c r="D27" s="43"/>
      <c r="E27" s="43"/>
      <c r="F27" s="43"/>
      <c r="G27" s="43"/>
      <c r="H27" s="44"/>
    </row>
    <row r="28" spans="2:8" s="41" customFormat="1" ht="12">
      <c r="B28" s="56"/>
      <c r="C28" s="60" t="s">
        <v>135</v>
      </c>
      <c r="D28" s="45">
        <v>1</v>
      </c>
      <c r="E28" s="45">
        <v>1</v>
      </c>
      <c r="F28" s="45">
        <f>SUM(D28*E28)</f>
        <v>1</v>
      </c>
      <c r="G28" s="45">
        <v>160</v>
      </c>
      <c r="H28" s="45">
        <f>SUM(D28*G28)</f>
        <v>160</v>
      </c>
    </row>
    <row r="29" spans="2:8" s="41" customFormat="1" ht="12">
      <c r="B29" s="56"/>
      <c r="C29" s="60" t="s">
        <v>114</v>
      </c>
      <c r="D29" s="45">
        <v>2</v>
      </c>
      <c r="E29" s="45">
        <v>1</v>
      </c>
      <c r="F29" s="45">
        <f>SUM(D29*E29)</f>
        <v>2</v>
      </c>
      <c r="G29" s="45">
        <v>160</v>
      </c>
      <c r="H29" s="45">
        <f>SUM(D29*G29)</f>
        <v>320</v>
      </c>
    </row>
    <row r="30" spans="2:8" s="41" customFormat="1" ht="12">
      <c r="B30" s="56"/>
      <c r="C30" s="60" t="s">
        <v>136</v>
      </c>
      <c r="D30" s="45">
        <v>4</v>
      </c>
      <c r="E30" s="45">
        <v>1</v>
      </c>
      <c r="F30" s="45">
        <f>SUM(D30*E30)</f>
        <v>4</v>
      </c>
      <c r="G30" s="45">
        <v>120</v>
      </c>
      <c r="H30" s="45">
        <f>SUM(D30*G30)</f>
        <v>480</v>
      </c>
    </row>
    <row r="31" spans="2:8" s="41" customFormat="1" ht="12">
      <c r="B31" s="56"/>
      <c r="C31" s="60" t="s">
        <v>137</v>
      </c>
      <c r="D31" s="45">
        <v>1</v>
      </c>
      <c r="E31" s="45">
        <v>50</v>
      </c>
      <c r="F31" s="45">
        <f>SUM(D31*E31)</f>
        <v>50</v>
      </c>
      <c r="G31" s="45">
        <v>1000</v>
      </c>
      <c r="H31" s="45">
        <f>SUM(D31*G31)</f>
        <v>1000</v>
      </c>
    </row>
    <row r="32" spans="2:8" s="41" customFormat="1" ht="12">
      <c r="B32" s="56"/>
      <c r="C32" s="60" t="s">
        <v>138</v>
      </c>
      <c r="D32" s="45">
        <v>1</v>
      </c>
      <c r="E32" s="45">
        <v>12</v>
      </c>
      <c r="F32" s="45">
        <f>SUM(D32*E32)</f>
        <v>12</v>
      </c>
      <c r="G32" s="45">
        <v>240</v>
      </c>
      <c r="H32" s="45">
        <f>SUM(D32*G32)</f>
        <v>240</v>
      </c>
    </row>
    <row r="33" spans="2:8" s="41" customFormat="1" ht="12">
      <c r="B33" s="50"/>
      <c r="C33" s="46" t="s">
        <v>92</v>
      </c>
      <c r="D33" s="46"/>
      <c r="E33" s="43"/>
      <c r="F33" s="43">
        <f>SUM(F27:F32)</f>
        <v>69</v>
      </c>
      <c r="G33" s="43"/>
      <c r="H33" s="44">
        <f>SUM(H27:H32)</f>
        <v>2200</v>
      </c>
    </row>
    <row r="34" spans="2:8" s="41" customFormat="1" ht="12">
      <c r="B34" s="42"/>
      <c r="C34" s="59" t="s">
        <v>112</v>
      </c>
      <c r="D34" s="43"/>
      <c r="E34" s="43"/>
      <c r="F34" s="43"/>
      <c r="G34" s="43"/>
      <c r="H34" s="44"/>
    </row>
    <row r="35" spans="2:8" s="41" customFormat="1" ht="12">
      <c r="B35" s="56"/>
      <c r="C35" s="60" t="s">
        <v>113</v>
      </c>
      <c r="D35" s="45">
        <v>1</v>
      </c>
      <c r="E35" s="45">
        <v>1</v>
      </c>
      <c r="F35" s="45">
        <f>SUM(D35*E35)</f>
        <v>1</v>
      </c>
      <c r="G35" s="45">
        <v>160</v>
      </c>
      <c r="H35" s="45">
        <f>SUM(D35*G35)</f>
        <v>160</v>
      </c>
    </row>
    <row r="36" spans="2:8" s="41" customFormat="1" ht="12">
      <c r="B36" s="56"/>
      <c r="C36" s="60" t="s">
        <v>114</v>
      </c>
      <c r="D36" s="45">
        <v>2</v>
      </c>
      <c r="E36" s="45">
        <v>1</v>
      </c>
      <c r="F36" s="45">
        <f>SUM(D36*E36)</f>
        <v>2</v>
      </c>
      <c r="G36" s="45">
        <v>160</v>
      </c>
      <c r="H36" s="45">
        <f>SUM(D36*G36)</f>
        <v>320</v>
      </c>
    </row>
    <row r="37" spans="2:8" s="41" customFormat="1" ht="12">
      <c r="B37" s="56"/>
      <c r="C37" s="60" t="s">
        <v>115</v>
      </c>
      <c r="D37" s="45">
        <v>6</v>
      </c>
      <c r="E37" s="45">
        <v>1</v>
      </c>
      <c r="F37" s="45">
        <f>SUM(D37*E37)</f>
        <v>6</v>
      </c>
      <c r="G37" s="45">
        <v>120</v>
      </c>
      <c r="H37" s="45">
        <f>SUM(D37*G37)</f>
        <v>720</v>
      </c>
    </row>
    <row r="38" spans="2:8" s="41" customFormat="1" ht="12">
      <c r="B38" s="56"/>
      <c r="C38" s="60" t="s">
        <v>116</v>
      </c>
      <c r="D38" s="45">
        <v>20</v>
      </c>
      <c r="E38" s="45">
        <v>1</v>
      </c>
      <c r="F38" s="45">
        <f>SUM(D38*E38)</f>
        <v>20</v>
      </c>
      <c r="G38" s="45">
        <v>120</v>
      </c>
      <c r="H38" s="45">
        <f>SUM(D38*G38)</f>
        <v>2400</v>
      </c>
    </row>
    <row r="39" spans="2:8" s="41" customFormat="1" ht="12">
      <c r="B39" s="56"/>
      <c r="C39" s="60" t="s">
        <v>117</v>
      </c>
      <c r="D39" s="45">
        <v>10</v>
      </c>
      <c r="E39" s="45">
        <v>3</v>
      </c>
      <c r="F39" s="45">
        <f>SUM(D39*E39)</f>
        <v>30</v>
      </c>
      <c r="G39" s="45">
        <v>120</v>
      </c>
      <c r="H39" s="45">
        <f>SUM(D39*G39)</f>
        <v>1200</v>
      </c>
    </row>
    <row r="40" spans="2:8" s="41" customFormat="1" ht="12">
      <c r="B40" s="50"/>
      <c r="C40" s="46" t="s">
        <v>92</v>
      </c>
      <c r="D40" s="46"/>
      <c r="E40" s="43"/>
      <c r="F40" s="43">
        <f>SUM(F34:F39)</f>
        <v>59</v>
      </c>
      <c r="G40" s="43"/>
      <c r="H40" s="44">
        <f>SUM(H34:H39)</f>
        <v>4800</v>
      </c>
    </row>
    <row r="41" spans="2:8" s="41" customFormat="1" ht="12">
      <c r="B41" s="42"/>
      <c r="C41" s="59" t="s">
        <v>118</v>
      </c>
      <c r="D41" s="43"/>
      <c r="E41" s="43"/>
      <c r="F41" s="43"/>
      <c r="G41" s="43"/>
      <c r="H41" s="44"/>
    </row>
    <row r="42" spans="2:8" s="41" customFormat="1" ht="12">
      <c r="B42" s="56"/>
      <c r="C42" s="60" t="s">
        <v>119</v>
      </c>
      <c r="D42" s="45">
        <v>1</v>
      </c>
      <c r="E42" s="45">
        <v>1</v>
      </c>
      <c r="F42" s="45">
        <f aca="true" t="shared" si="1" ref="F42:F47">SUM(D42*E42)</f>
        <v>1</v>
      </c>
      <c r="G42" s="45">
        <v>200</v>
      </c>
      <c r="H42" s="45">
        <f aca="true" t="shared" si="2" ref="H42:H47">SUM(D42*G42)</f>
        <v>200</v>
      </c>
    </row>
    <row r="43" spans="2:8" s="41" customFormat="1" ht="12">
      <c r="B43" s="56"/>
      <c r="C43" s="60" t="s">
        <v>120</v>
      </c>
      <c r="D43" s="45">
        <v>1</v>
      </c>
      <c r="E43" s="45">
        <v>1</v>
      </c>
      <c r="F43" s="45">
        <f t="shared" si="1"/>
        <v>1</v>
      </c>
      <c r="G43" s="45">
        <v>160</v>
      </c>
      <c r="H43" s="45">
        <f t="shared" si="2"/>
        <v>160</v>
      </c>
    </row>
    <row r="44" spans="2:8" s="41" customFormat="1" ht="12">
      <c r="B44" s="56"/>
      <c r="C44" s="60" t="s">
        <v>124</v>
      </c>
      <c r="D44" s="45">
        <v>2</v>
      </c>
      <c r="E44" s="45">
        <v>2</v>
      </c>
      <c r="F44" s="45">
        <f>SUM(D44*E44)</f>
        <v>4</v>
      </c>
      <c r="G44" s="45">
        <v>160</v>
      </c>
      <c r="H44" s="45">
        <f>SUM(D44*G44)</f>
        <v>320</v>
      </c>
    </row>
    <row r="45" spans="2:8" s="41" customFormat="1" ht="12">
      <c r="B45" s="56"/>
      <c r="C45" s="60" t="s">
        <v>123</v>
      </c>
      <c r="D45" s="45">
        <v>1</v>
      </c>
      <c r="E45" s="45">
        <v>1</v>
      </c>
      <c r="F45" s="45">
        <f>SUM(D45*E45)</f>
        <v>1</v>
      </c>
      <c r="G45" s="45">
        <v>120</v>
      </c>
      <c r="H45" s="45">
        <f>SUM(D45*G45)</f>
        <v>120</v>
      </c>
    </row>
    <row r="46" spans="2:8" s="41" customFormat="1" ht="12">
      <c r="B46" s="56"/>
      <c r="C46" s="60" t="s">
        <v>121</v>
      </c>
      <c r="D46" s="45">
        <v>1</v>
      </c>
      <c r="E46" s="45">
        <v>1</v>
      </c>
      <c r="F46" s="45">
        <f t="shared" si="1"/>
        <v>1</v>
      </c>
      <c r="G46" s="45">
        <v>120</v>
      </c>
      <c r="H46" s="45">
        <f t="shared" si="2"/>
        <v>120</v>
      </c>
    </row>
    <row r="47" spans="2:8" s="41" customFormat="1" ht="12">
      <c r="B47" s="56"/>
      <c r="C47" s="60" t="s">
        <v>26</v>
      </c>
      <c r="D47" s="45">
        <v>1</v>
      </c>
      <c r="E47" s="45">
        <v>1</v>
      </c>
      <c r="F47" s="45">
        <f t="shared" si="1"/>
        <v>1</v>
      </c>
      <c r="G47" s="45">
        <v>120</v>
      </c>
      <c r="H47" s="45">
        <f t="shared" si="2"/>
        <v>120</v>
      </c>
    </row>
    <row r="48" spans="2:8" s="41" customFormat="1" ht="12">
      <c r="B48" s="56"/>
      <c r="C48" s="60" t="s">
        <v>122</v>
      </c>
      <c r="D48" s="45">
        <v>1</v>
      </c>
      <c r="E48" s="45">
        <v>1</v>
      </c>
      <c r="F48" s="45">
        <f>SUM(D48*E48)</f>
        <v>1</v>
      </c>
      <c r="G48" s="45">
        <v>120</v>
      </c>
      <c r="H48" s="45">
        <f>SUM(D48*G48)</f>
        <v>120</v>
      </c>
    </row>
    <row r="49" spans="2:8" s="41" customFormat="1" ht="12">
      <c r="B49" s="56"/>
      <c r="C49" s="60" t="s">
        <v>125</v>
      </c>
      <c r="D49" s="45">
        <v>1</v>
      </c>
      <c r="E49" s="45">
        <v>1</v>
      </c>
      <c r="F49" s="45">
        <f>SUM(D49*E49)</f>
        <v>1</v>
      </c>
      <c r="G49" s="45">
        <v>120</v>
      </c>
      <c r="H49" s="45">
        <f>SUM(D49*G49)</f>
        <v>120</v>
      </c>
    </row>
    <row r="50" spans="2:8" s="41" customFormat="1" ht="12">
      <c r="B50" s="56"/>
      <c r="C50" s="60" t="s">
        <v>91</v>
      </c>
      <c r="D50" s="45">
        <v>1</v>
      </c>
      <c r="E50" s="45">
        <v>0</v>
      </c>
      <c r="F50" s="45">
        <f>SUM(D50*E50)</f>
        <v>0</v>
      </c>
      <c r="G50" s="45">
        <v>200</v>
      </c>
      <c r="H50" s="45">
        <f>SUM(D50*G50)</f>
        <v>200</v>
      </c>
    </row>
    <row r="51" spans="2:8" s="41" customFormat="1" ht="12">
      <c r="B51" s="56"/>
      <c r="C51" s="60" t="s">
        <v>126</v>
      </c>
      <c r="D51" s="45">
        <v>2</v>
      </c>
      <c r="E51" s="45">
        <v>1</v>
      </c>
      <c r="F51" s="45">
        <f>SUM(D51*E51)</f>
        <v>2</v>
      </c>
      <c r="G51" s="45">
        <v>160</v>
      </c>
      <c r="H51" s="45">
        <f>SUM(D51*G51)</f>
        <v>320</v>
      </c>
    </row>
    <row r="52" spans="2:8" s="41" customFormat="1" ht="12">
      <c r="B52" s="50"/>
      <c r="C52" s="46" t="s">
        <v>92</v>
      </c>
      <c r="D52" s="46"/>
      <c r="E52" s="43"/>
      <c r="F52" s="43">
        <f>SUM(F41:F51)</f>
        <v>13</v>
      </c>
      <c r="G52" s="43"/>
      <c r="H52" s="44">
        <f>SUM(H41:H51)</f>
        <v>1800</v>
      </c>
    </row>
    <row r="53" spans="2:8" s="41" customFormat="1" ht="12">
      <c r="B53" s="50"/>
      <c r="C53" s="75" t="s">
        <v>129</v>
      </c>
      <c r="D53" s="46"/>
      <c r="E53" s="43"/>
      <c r="F53" s="83">
        <f>SUM(F33+F40+F52)</f>
        <v>141</v>
      </c>
      <c r="G53" s="43"/>
      <c r="H53" s="83">
        <f>SUM(H33+H40+H52)</f>
        <v>8800</v>
      </c>
    </row>
    <row r="54" spans="2:8" s="41" customFormat="1" ht="12">
      <c r="B54" s="47"/>
      <c r="C54" s="61"/>
      <c r="D54" s="48"/>
      <c r="E54" s="48"/>
      <c r="F54" s="48"/>
      <c r="G54" s="48"/>
      <c r="H54" s="49"/>
    </row>
    <row r="55" spans="2:8" s="41" customFormat="1" ht="12">
      <c r="B55" s="42"/>
      <c r="C55" s="59" t="s">
        <v>132</v>
      </c>
      <c r="D55" s="43"/>
      <c r="E55" s="43"/>
      <c r="F55" s="43">
        <f>SUM(F11,F24,F53)</f>
        <v>1451</v>
      </c>
      <c r="G55" s="43"/>
      <c r="H55" s="83">
        <f>SUM(H11,H24,H53)</f>
        <v>65300</v>
      </c>
    </row>
    <row r="56" spans="2:8" s="55" customFormat="1" ht="12">
      <c r="B56" s="72"/>
      <c r="C56" s="73"/>
      <c r="D56" s="51"/>
      <c r="E56" s="51"/>
      <c r="F56" s="51"/>
      <c r="G56" s="51"/>
      <c r="H56" s="52"/>
    </row>
    <row r="57" spans="2:8" s="41" customFormat="1" ht="12">
      <c r="B57" s="42" t="s">
        <v>130</v>
      </c>
      <c r="C57" s="59"/>
      <c r="D57" s="43"/>
      <c r="E57" s="43"/>
      <c r="F57" s="43"/>
      <c r="G57" s="43"/>
      <c r="H57" s="44"/>
    </row>
    <row r="58" spans="2:8" s="41" customFormat="1" ht="36">
      <c r="B58" s="57"/>
      <c r="C58" s="74" t="s">
        <v>131</v>
      </c>
      <c r="D58" s="79"/>
      <c r="E58" s="77"/>
      <c r="F58" s="81"/>
      <c r="G58" s="80"/>
      <c r="H58" s="78">
        <f>SUM((H55/0.6)-H55)</f>
        <v>43533.33333333334</v>
      </c>
    </row>
    <row r="59" spans="2:8" s="41" customFormat="1" ht="12">
      <c r="B59" s="42"/>
      <c r="C59" s="76" t="s">
        <v>133</v>
      </c>
      <c r="D59" s="43"/>
      <c r="E59" s="43"/>
      <c r="F59" s="43"/>
      <c r="G59" s="43"/>
      <c r="H59" s="83">
        <f>+SUM(H58)</f>
        <v>43533.33333333334</v>
      </c>
    </row>
    <row r="60" spans="2:8" s="41" customFormat="1" ht="12">
      <c r="B60" s="42" t="s">
        <v>134</v>
      </c>
      <c r="C60" s="59"/>
      <c r="D60" s="43"/>
      <c r="E60" s="43"/>
      <c r="F60" s="82">
        <f>+F55</f>
        <v>1451</v>
      </c>
      <c r="G60" s="43"/>
      <c r="H60" s="83">
        <f>SUM(H55,H59)</f>
        <v>108833.33333333334</v>
      </c>
    </row>
  </sheetData>
  <mergeCells count="2">
    <mergeCell ref="B2:H2"/>
    <mergeCell ref="B3:H3"/>
  </mergeCells>
  <printOptions/>
  <pageMargins left="0.75" right="0.75" top="0.52" bottom="0.51" header="0.5" footer="0.5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9">
      <selection activeCell="L13" sqref="L13"/>
    </sheetView>
  </sheetViews>
  <sheetFormatPr defaultColWidth="9.140625" defaultRowHeight="12.75"/>
  <cols>
    <col min="1" max="1" width="1.28515625" style="0" customWidth="1"/>
    <col min="2" max="2" width="3.421875" style="0" customWidth="1"/>
    <col min="3" max="3" width="3.00390625" style="0" customWidth="1"/>
    <col min="5" max="5" width="2.421875" style="0" customWidth="1"/>
    <col min="11" max="11" width="11.8515625" style="0" customWidth="1"/>
    <col min="12" max="12" width="13.421875" style="0" customWidth="1"/>
  </cols>
  <sheetData>
    <row r="1" ht="6" customHeight="1"/>
    <row r="2" spans="2:12" ht="12.75">
      <c r="B2" s="30" t="s">
        <v>0</v>
      </c>
      <c r="C2" s="5"/>
      <c r="D2" s="5"/>
      <c r="E2" s="5"/>
      <c r="F2" s="5"/>
      <c r="G2" s="5"/>
      <c r="H2" s="5"/>
      <c r="I2" s="5"/>
      <c r="J2" s="5" t="s">
        <v>23</v>
      </c>
      <c r="K2" s="6">
        <v>37526</v>
      </c>
      <c r="L2" s="7"/>
    </row>
    <row r="3" spans="2:12" ht="12.75">
      <c r="B3" s="31" t="s">
        <v>1</v>
      </c>
      <c r="C3" s="9"/>
      <c r="D3" s="9"/>
      <c r="E3" s="9"/>
      <c r="F3" s="9"/>
      <c r="G3" s="9"/>
      <c r="H3" s="9"/>
      <c r="I3" s="9"/>
      <c r="J3" s="9" t="s">
        <v>24</v>
      </c>
      <c r="K3" s="9"/>
      <c r="L3" s="10"/>
    </row>
    <row r="4" spans="2:12" ht="12.75">
      <c r="B4" s="8" t="s">
        <v>2</v>
      </c>
      <c r="C4" s="9"/>
      <c r="D4" s="9"/>
      <c r="E4" s="9"/>
      <c r="F4" s="32" t="s">
        <v>154</v>
      </c>
      <c r="G4" s="9"/>
      <c r="H4" s="9"/>
      <c r="I4" s="9"/>
      <c r="J4" s="9"/>
      <c r="K4" s="9"/>
      <c r="L4" s="10"/>
    </row>
    <row r="5" spans="2:12" ht="12.75">
      <c r="B5" s="8" t="s">
        <v>48</v>
      </c>
      <c r="C5" s="9"/>
      <c r="D5" s="9"/>
      <c r="E5" s="9"/>
      <c r="F5" s="9" t="s">
        <v>49</v>
      </c>
      <c r="G5" s="9"/>
      <c r="H5" s="9"/>
      <c r="I5" s="9"/>
      <c r="J5" s="9"/>
      <c r="K5" s="9"/>
      <c r="L5" s="10"/>
    </row>
    <row r="6" spans="2:12" ht="13.5" thickBot="1">
      <c r="B6" s="11" t="s">
        <v>3</v>
      </c>
      <c r="C6" s="12"/>
      <c r="D6" s="12"/>
      <c r="E6" s="12"/>
      <c r="F6" s="12" t="s">
        <v>26</v>
      </c>
      <c r="G6" s="12"/>
      <c r="H6" s="12"/>
      <c r="I6" s="12"/>
      <c r="J6" s="12"/>
      <c r="K6" s="12"/>
      <c r="L6" s="13"/>
    </row>
    <row r="7" spans="2:12" ht="13.5" thickTop="1">
      <c r="B7" s="86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2:12" ht="12.75">
      <c r="B8" s="87"/>
      <c r="C8" s="9"/>
      <c r="D8" s="9"/>
      <c r="E8" s="9"/>
      <c r="F8" s="17" t="s">
        <v>17</v>
      </c>
      <c r="G8" s="17"/>
      <c r="H8" s="17"/>
      <c r="I8" s="17"/>
      <c r="J8" s="17" t="s">
        <v>20</v>
      </c>
      <c r="K8" s="17" t="s">
        <v>21</v>
      </c>
      <c r="L8" s="18" t="s">
        <v>22</v>
      </c>
    </row>
    <row r="9" spans="2:12" ht="12.75">
      <c r="B9" s="88" t="s">
        <v>38</v>
      </c>
      <c r="C9" s="16" t="s">
        <v>12</v>
      </c>
      <c r="D9" s="9"/>
      <c r="E9" s="9"/>
      <c r="J9" s="4"/>
      <c r="L9" s="10"/>
    </row>
    <row r="10" spans="2:12" ht="12.75">
      <c r="B10" s="88"/>
      <c r="C10" s="16" t="s">
        <v>4</v>
      </c>
      <c r="D10" s="9" t="s">
        <v>156</v>
      </c>
      <c r="E10" s="9"/>
      <c r="F10" s="19">
        <v>5000</v>
      </c>
      <c r="G10" s="20"/>
      <c r="H10" s="19"/>
      <c r="I10" s="9"/>
      <c r="J10" s="21">
        <v>5</v>
      </c>
      <c r="K10" s="21">
        <f>SUM(F10*J10)</f>
        <v>25000</v>
      </c>
      <c r="L10" s="22"/>
    </row>
    <row r="11" spans="2:12" ht="12.75">
      <c r="B11" s="88"/>
      <c r="C11" s="16" t="s">
        <v>6</v>
      </c>
      <c r="D11" s="9" t="s">
        <v>157</v>
      </c>
      <c r="E11" s="9"/>
      <c r="F11" s="19">
        <v>5000</v>
      </c>
      <c r="G11" s="20"/>
      <c r="H11" s="19"/>
      <c r="I11" s="9"/>
      <c r="J11" s="21">
        <v>80</v>
      </c>
      <c r="K11" s="21">
        <f>SUM(F11*J11)</f>
        <v>400000</v>
      </c>
      <c r="L11" s="22"/>
    </row>
    <row r="12" spans="2:12" ht="12.75">
      <c r="B12" s="88"/>
      <c r="C12" s="16"/>
      <c r="D12" s="9"/>
      <c r="E12" s="9"/>
      <c r="F12" s="19"/>
      <c r="G12" s="9"/>
      <c r="H12" s="19"/>
      <c r="I12" s="9"/>
      <c r="J12" s="21"/>
      <c r="K12" s="21"/>
      <c r="L12" s="22"/>
    </row>
    <row r="13" spans="2:12" ht="12.75">
      <c r="B13" s="88"/>
      <c r="C13" s="16"/>
      <c r="D13" s="9"/>
      <c r="E13" s="9" t="s">
        <v>155</v>
      </c>
      <c r="F13" s="9"/>
      <c r="G13" s="9"/>
      <c r="H13" s="9"/>
      <c r="I13" s="9"/>
      <c r="J13" s="21"/>
      <c r="K13" s="21"/>
      <c r="L13" s="22">
        <f>SUM(K9:K12)</f>
        <v>425000</v>
      </c>
    </row>
    <row r="14" spans="2:12" ht="12.75">
      <c r="B14" s="88"/>
      <c r="C14" s="16"/>
      <c r="D14" s="9"/>
      <c r="E14" s="9"/>
      <c r="F14" s="9"/>
      <c r="G14" s="9"/>
      <c r="H14" s="9"/>
      <c r="I14" s="9"/>
      <c r="J14" s="91"/>
      <c r="K14" s="9"/>
      <c r="L14" s="10"/>
    </row>
    <row r="15" spans="2:12" ht="12.75">
      <c r="B15" s="88" t="s">
        <v>39</v>
      </c>
      <c r="C15" s="16" t="s">
        <v>145</v>
      </c>
      <c r="D15" s="9"/>
      <c r="E15" s="9"/>
      <c r="F15" s="9"/>
      <c r="G15" s="9"/>
      <c r="H15" s="9"/>
      <c r="I15" s="9"/>
      <c r="J15" s="21">
        <v>30</v>
      </c>
      <c r="K15" s="21">
        <f>SUM(F10*J15)</f>
        <v>150000</v>
      </c>
      <c r="L15" s="10"/>
    </row>
    <row r="16" spans="2:12" ht="12.75">
      <c r="B16" s="88"/>
      <c r="C16" s="16"/>
      <c r="D16" s="9"/>
      <c r="E16" s="9"/>
      <c r="F16" s="9"/>
      <c r="G16" s="9"/>
      <c r="H16" s="9"/>
      <c r="I16" s="9"/>
      <c r="J16" s="21"/>
      <c r="K16" s="9"/>
      <c r="L16" s="10"/>
    </row>
    <row r="17" spans="2:12" ht="12.75">
      <c r="B17" s="88"/>
      <c r="C17" s="16"/>
      <c r="D17" s="9"/>
      <c r="E17" s="9" t="s">
        <v>27</v>
      </c>
      <c r="F17" s="9"/>
      <c r="G17" s="9"/>
      <c r="H17" s="9"/>
      <c r="I17" s="9"/>
      <c r="J17" s="21"/>
      <c r="K17" s="9"/>
      <c r="L17" s="22">
        <f>SUM(K15:K16)</f>
        <v>150000</v>
      </c>
    </row>
    <row r="18" spans="2:12" ht="12.75">
      <c r="B18" s="88"/>
      <c r="C18" s="16"/>
      <c r="D18" s="9"/>
      <c r="E18" s="9"/>
      <c r="F18" s="9"/>
      <c r="G18" s="9"/>
      <c r="H18" s="9"/>
      <c r="I18" s="9"/>
      <c r="J18" s="21"/>
      <c r="K18" s="9"/>
      <c r="L18" s="10"/>
    </row>
    <row r="19" spans="2:12" ht="12.75">
      <c r="B19" s="88" t="s">
        <v>40</v>
      </c>
      <c r="C19" s="29" t="s">
        <v>28</v>
      </c>
      <c r="D19" s="9"/>
      <c r="E19" s="9"/>
      <c r="F19" s="9"/>
      <c r="G19" s="9"/>
      <c r="H19" s="9"/>
      <c r="I19" s="9"/>
      <c r="J19" s="21"/>
      <c r="K19" s="9"/>
      <c r="L19" s="27">
        <f>SUM(L9:L18)</f>
        <v>575000</v>
      </c>
    </row>
    <row r="20" spans="2:12" ht="12.75">
      <c r="B20" s="88"/>
      <c r="C20" s="16"/>
      <c r="D20" s="9"/>
      <c r="E20" s="9"/>
      <c r="F20" s="9"/>
      <c r="G20" s="9"/>
      <c r="H20" s="9"/>
      <c r="I20" s="9"/>
      <c r="J20" s="17" t="s">
        <v>37</v>
      </c>
      <c r="K20" s="9"/>
      <c r="L20" s="10"/>
    </row>
    <row r="21" spans="2:12" ht="12.75">
      <c r="B21" s="88" t="s">
        <v>41</v>
      </c>
      <c r="C21" s="16" t="s">
        <v>29</v>
      </c>
      <c r="D21" s="9"/>
      <c r="E21" s="9"/>
      <c r="F21" s="9"/>
      <c r="G21" s="9"/>
      <c r="H21" s="9"/>
      <c r="I21" s="9"/>
      <c r="K21" s="9"/>
      <c r="L21" s="10"/>
    </row>
    <row r="22" spans="2:12" ht="12.75">
      <c r="B22" s="88"/>
      <c r="C22" s="16" t="s">
        <v>30</v>
      </c>
      <c r="D22" s="9"/>
      <c r="E22" s="9"/>
      <c r="F22" s="9"/>
      <c r="G22" s="9"/>
      <c r="H22" s="9"/>
      <c r="I22" s="9"/>
      <c r="J22" s="85">
        <v>0.005</v>
      </c>
      <c r="K22" s="21">
        <f>SUM($L$19*J22)</f>
        <v>2875</v>
      </c>
      <c r="L22" s="22"/>
    </row>
    <row r="23" spans="2:12" ht="12.75">
      <c r="B23" s="88"/>
      <c r="C23" s="16" t="s">
        <v>33</v>
      </c>
      <c r="D23" s="9" t="s">
        <v>158</v>
      </c>
      <c r="E23" s="9"/>
      <c r="F23" s="9"/>
      <c r="G23" s="9"/>
      <c r="H23" s="9"/>
      <c r="I23" s="9"/>
      <c r="J23" s="85">
        <v>0.1</v>
      </c>
      <c r="K23" s="21">
        <f>SUM($L$19*J23)</f>
        <v>57500</v>
      </c>
      <c r="L23" s="22"/>
    </row>
    <row r="24" spans="2:12" ht="12.75">
      <c r="B24" s="88"/>
      <c r="C24" s="16" t="s">
        <v>31</v>
      </c>
      <c r="D24" s="9" t="s">
        <v>32</v>
      </c>
      <c r="E24" s="9"/>
      <c r="F24" s="9"/>
      <c r="G24" s="9"/>
      <c r="H24" s="9"/>
      <c r="I24" s="9"/>
      <c r="J24" s="85">
        <v>0.05</v>
      </c>
      <c r="K24" s="21">
        <f>SUM($L$19*J24)</f>
        <v>28750</v>
      </c>
      <c r="L24" s="22"/>
    </row>
    <row r="25" spans="2:12" ht="12.75">
      <c r="B25" s="88"/>
      <c r="C25" s="16" t="s">
        <v>84</v>
      </c>
      <c r="D25" s="9" t="s">
        <v>144</v>
      </c>
      <c r="E25" s="9"/>
      <c r="F25" s="9"/>
      <c r="G25" s="9"/>
      <c r="H25" s="9"/>
      <c r="I25" s="9"/>
      <c r="J25" s="85">
        <v>0.2</v>
      </c>
      <c r="K25" s="21">
        <f>SUM($L$19*J25)</f>
        <v>115000</v>
      </c>
      <c r="L25" s="22"/>
    </row>
    <row r="26" spans="2:12" ht="12.75">
      <c r="B26" s="88"/>
      <c r="C26" s="16"/>
      <c r="D26" s="9"/>
      <c r="E26" s="9" t="s">
        <v>34</v>
      </c>
      <c r="F26" s="9"/>
      <c r="G26" s="9"/>
      <c r="H26" s="9"/>
      <c r="I26" s="9"/>
      <c r="J26" s="9"/>
      <c r="K26" s="21"/>
      <c r="L26" s="22">
        <f>SUM(K21:K25)</f>
        <v>204125</v>
      </c>
    </row>
    <row r="27" spans="2:12" ht="12.75">
      <c r="B27" s="88"/>
      <c r="C27" s="16"/>
      <c r="D27" s="9"/>
      <c r="E27" s="9"/>
      <c r="F27" s="9"/>
      <c r="G27" s="9"/>
      <c r="H27" s="9"/>
      <c r="I27" s="9"/>
      <c r="J27" s="9"/>
      <c r="K27" s="9"/>
      <c r="L27" s="10"/>
    </row>
    <row r="28" spans="2:12" ht="12.75">
      <c r="B28" s="88" t="s">
        <v>42</v>
      </c>
      <c r="C28" s="29" t="s">
        <v>35</v>
      </c>
      <c r="D28" s="9"/>
      <c r="E28" s="9"/>
      <c r="F28" s="9"/>
      <c r="G28" s="9"/>
      <c r="H28" s="9"/>
      <c r="I28" s="9"/>
      <c r="J28" s="21"/>
      <c r="K28" s="21"/>
      <c r="L28" s="27">
        <f>SUM(L19,L26)</f>
        <v>779125</v>
      </c>
    </row>
    <row r="29" spans="2:12" ht="12.75">
      <c r="B29" s="88"/>
      <c r="C29" s="16"/>
      <c r="D29" s="9"/>
      <c r="E29" s="9"/>
      <c r="F29" s="9"/>
      <c r="G29" s="9"/>
      <c r="H29" s="9"/>
      <c r="I29" s="9"/>
      <c r="J29" s="17" t="s">
        <v>20</v>
      </c>
      <c r="K29" s="9"/>
      <c r="L29" s="10"/>
    </row>
    <row r="30" spans="2:12" ht="12.75">
      <c r="B30" s="88" t="s">
        <v>43</v>
      </c>
      <c r="C30" s="16" t="s">
        <v>146</v>
      </c>
      <c r="D30" s="9"/>
      <c r="E30" s="9"/>
      <c r="F30" s="9"/>
      <c r="G30" s="9"/>
      <c r="H30" s="9"/>
      <c r="I30" s="9"/>
      <c r="J30" s="21">
        <v>30</v>
      </c>
      <c r="K30" s="21">
        <f>SUM(F10*J30)</f>
        <v>150000</v>
      </c>
      <c r="L30" s="10"/>
    </row>
    <row r="31" spans="2:12" ht="12.75">
      <c r="B31" s="88"/>
      <c r="C31" s="16"/>
      <c r="D31" s="9"/>
      <c r="E31" s="9"/>
      <c r="F31" s="9"/>
      <c r="G31" s="9"/>
      <c r="H31" s="9"/>
      <c r="I31" s="9"/>
      <c r="J31" s="21"/>
      <c r="K31" s="9"/>
      <c r="L31" s="10"/>
    </row>
    <row r="32" spans="2:12" ht="12.75">
      <c r="B32" s="88"/>
      <c r="C32" s="16"/>
      <c r="D32" s="9"/>
      <c r="E32" s="9" t="s">
        <v>46</v>
      </c>
      <c r="F32" s="9"/>
      <c r="G32" s="9"/>
      <c r="H32" s="9"/>
      <c r="I32" s="9"/>
      <c r="J32" s="21"/>
      <c r="K32" s="21"/>
      <c r="L32" s="22">
        <f>SUM(K30)</f>
        <v>150000</v>
      </c>
    </row>
    <row r="33" spans="2:12" ht="12.75">
      <c r="B33" s="88"/>
      <c r="C33" s="16"/>
      <c r="D33" s="9"/>
      <c r="E33" s="9"/>
      <c r="F33" s="9"/>
      <c r="G33" s="9"/>
      <c r="H33" s="9"/>
      <c r="I33" s="9"/>
      <c r="J33" s="21"/>
      <c r="K33" s="21"/>
      <c r="L33" s="22"/>
    </row>
    <row r="34" spans="2:12" ht="12.75">
      <c r="B34" s="88" t="s">
        <v>44</v>
      </c>
      <c r="C34" s="16" t="s">
        <v>150</v>
      </c>
      <c r="D34" s="9"/>
      <c r="E34" s="9"/>
      <c r="F34" s="9"/>
      <c r="G34" s="9"/>
      <c r="H34" s="9"/>
      <c r="I34" s="9"/>
      <c r="J34" s="21"/>
      <c r="K34" s="21"/>
      <c r="L34" s="22">
        <f>SUM(L28,L32)</f>
        <v>929125</v>
      </c>
    </row>
    <row r="35" spans="2:12" ht="13.5" thickBot="1">
      <c r="B35" s="88" t="s">
        <v>45</v>
      </c>
      <c r="C35" s="16" t="s">
        <v>169</v>
      </c>
      <c r="D35" s="9"/>
      <c r="E35" s="9"/>
      <c r="F35" s="9"/>
      <c r="G35" s="9"/>
      <c r="H35" s="9"/>
      <c r="I35" s="9"/>
      <c r="J35" s="21"/>
      <c r="K35" s="21"/>
      <c r="L35" s="90">
        <f>SUM(L34*0.08)</f>
        <v>74330</v>
      </c>
    </row>
    <row r="36" spans="1:12" ht="13.5" thickTop="1">
      <c r="A36" s="10"/>
      <c r="B36" s="89" t="s">
        <v>148</v>
      </c>
      <c r="C36" s="28" t="s">
        <v>170</v>
      </c>
      <c r="D36" s="23"/>
      <c r="E36" s="23"/>
      <c r="F36" s="23"/>
      <c r="G36" s="23"/>
      <c r="H36" s="23"/>
      <c r="I36" s="23"/>
      <c r="J36" s="24"/>
      <c r="K36" s="24"/>
      <c r="L36" s="26">
        <f>SUM(L34:L35)</f>
        <v>1003455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4">
      <selection activeCell="H10" sqref="H10"/>
    </sheetView>
  </sheetViews>
  <sheetFormatPr defaultColWidth="9.140625" defaultRowHeight="12.75"/>
  <cols>
    <col min="1" max="1" width="1.28515625" style="0" customWidth="1"/>
    <col min="2" max="2" width="3.421875" style="0" customWidth="1"/>
    <col min="3" max="3" width="3.00390625" style="0" customWidth="1"/>
    <col min="5" max="5" width="2.421875" style="0" customWidth="1"/>
    <col min="11" max="11" width="11.8515625" style="0" customWidth="1"/>
    <col min="12" max="12" width="13.421875" style="0" customWidth="1"/>
  </cols>
  <sheetData>
    <row r="1" ht="6" customHeight="1"/>
    <row r="2" spans="2:12" ht="12.75">
      <c r="B2" s="30" t="s">
        <v>0</v>
      </c>
      <c r="C2" s="5"/>
      <c r="D2" s="5"/>
      <c r="E2" s="5"/>
      <c r="F2" s="5"/>
      <c r="G2" s="5"/>
      <c r="H2" s="5"/>
      <c r="I2" s="5"/>
      <c r="J2" s="5" t="s">
        <v>23</v>
      </c>
      <c r="K2" s="6">
        <v>37526</v>
      </c>
      <c r="L2" s="7"/>
    </row>
    <row r="3" spans="2:12" ht="12.75">
      <c r="B3" s="31" t="s">
        <v>1</v>
      </c>
      <c r="C3" s="9"/>
      <c r="D3" s="9"/>
      <c r="E3" s="9"/>
      <c r="F3" s="9"/>
      <c r="G3" s="9"/>
      <c r="H3" s="9"/>
      <c r="I3" s="9"/>
      <c r="J3" s="9" t="s">
        <v>24</v>
      </c>
      <c r="K3" s="9"/>
      <c r="L3" s="10"/>
    </row>
    <row r="4" spans="2:12" ht="12.75">
      <c r="B4" s="8" t="s">
        <v>2</v>
      </c>
      <c r="C4" s="9"/>
      <c r="D4" s="9"/>
      <c r="E4" s="9"/>
      <c r="F4" s="32" t="s">
        <v>159</v>
      </c>
      <c r="G4" s="9"/>
      <c r="H4" s="9"/>
      <c r="I4" s="9"/>
      <c r="J4" s="9"/>
      <c r="K4" s="9"/>
      <c r="L4" s="10"/>
    </row>
    <row r="5" spans="2:12" ht="12.75">
      <c r="B5" s="8" t="s">
        <v>48</v>
      </c>
      <c r="C5" s="9"/>
      <c r="D5" s="9"/>
      <c r="E5" s="9"/>
      <c r="F5" s="9" t="s">
        <v>49</v>
      </c>
      <c r="G5" s="9"/>
      <c r="H5" s="9"/>
      <c r="I5" s="9"/>
      <c r="J5" s="9"/>
      <c r="K5" s="9"/>
      <c r="L5" s="10"/>
    </row>
    <row r="6" spans="2:12" ht="13.5" thickBot="1">
      <c r="B6" s="11" t="s">
        <v>3</v>
      </c>
      <c r="C6" s="12"/>
      <c r="D6" s="12"/>
      <c r="E6" s="12"/>
      <c r="F6" s="12" t="s">
        <v>26</v>
      </c>
      <c r="G6" s="12"/>
      <c r="H6" s="12"/>
      <c r="I6" s="12"/>
      <c r="J6" s="12"/>
      <c r="K6" s="12"/>
      <c r="L6" s="13"/>
    </row>
    <row r="7" spans="2:12" ht="13.5" thickTop="1">
      <c r="B7" s="86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2:12" ht="12.75">
      <c r="B8" s="87"/>
      <c r="C8" s="9"/>
      <c r="D8" s="9"/>
      <c r="E8" s="9"/>
      <c r="F8" s="17" t="s">
        <v>160</v>
      </c>
      <c r="G8" s="17"/>
      <c r="H8" s="17"/>
      <c r="I8" s="17"/>
      <c r="J8" s="17" t="s">
        <v>161</v>
      </c>
      <c r="K8" s="17" t="s">
        <v>21</v>
      </c>
      <c r="L8" s="18" t="s">
        <v>22</v>
      </c>
    </row>
    <row r="9" spans="2:12" ht="12.75">
      <c r="B9" s="88" t="s">
        <v>38</v>
      </c>
      <c r="C9" s="16" t="s">
        <v>12</v>
      </c>
      <c r="D9" s="9"/>
      <c r="E9" s="9"/>
      <c r="J9" s="4"/>
      <c r="L9" s="10"/>
    </row>
    <row r="10" spans="2:12" ht="12.75">
      <c r="B10" s="88"/>
      <c r="C10" s="16" t="s">
        <v>6</v>
      </c>
      <c r="D10" s="9" t="s">
        <v>157</v>
      </c>
      <c r="E10" s="9"/>
      <c r="F10" s="19">
        <v>475</v>
      </c>
      <c r="G10" s="20"/>
      <c r="H10" s="19"/>
      <c r="I10" s="9"/>
      <c r="J10" s="21">
        <v>12000</v>
      </c>
      <c r="K10" s="21">
        <f>SUM(F10*J10)</f>
        <v>5700000</v>
      </c>
      <c r="L10" s="22"/>
    </row>
    <row r="11" spans="2:12" ht="12.75">
      <c r="B11" s="88"/>
      <c r="C11" s="16"/>
      <c r="D11" s="9"/>
      <c r="E11" s="9"/>
      <c r="F11" s="19"/>
      <c r="G11" s="9"/>
      <c r="H11" s="19"/>
      <c r="I11" s="9"/>
      <c r="J11" s="21"/>
      <c r="K11" s="21"/>
      <c r="L11" s="22"/>
    </row>
    <row r="12" spans="2:12" ht="12.75">
      <c r="B12" s="88"/>
      <c r="C12" s="16"/>
      <c r="D12" s="9"/>
      <c r="E12" s="9" t="s">
        <v>155</v>
      </c>
      <c r="F12" s="9"/>
      <c r="G12" s="9"/>
      <c r="H12" s="9"/>
      <c r="I12" s="9"/>
      <c r="J12" s="21"/>
      <c r="K12" s="21"/>
      <c r="L12" s="22">
        <f>SUM(K9:K11)</f>
        <v>5700000</v>
      </c>
    </row>
    <row r="13" spans="2:12" ht="12.75">
      <c r="B13" s="88"/>
      <c r="C13" s="16"/>
      <c r="D13" s="9"/>
      <c r="E13" s="9"/>
      <c r="F13" s="9"/>
      <c r="G13" s="9"/>
      <c r="H13" s="9"/>
      <c r="I13" s="9"/>
      <c r="J13" s="21"/>
      <c r="K13" s="9"/>
      <c r="L13" s="10"/>
    </row>
    <row r="14" spans="2:12" ht="12.75">
      <c r="B14" s="88" t="s">
        <v>39</v>
      </c>
      <c r="C14" s="29" t="s">
        <v>28</v>
      </c>
      <c r="D14" s="9"/>
      <c r="E14" s="9"/>
      <c r="F14" s="9"/>
      <c r="G14" s="9"/>
      <c r="H14" s="9"/>
      <c r="I14" s="9"/>
      <c r="J14" s="21"/>
      <c r="K14" s="9"/>
      <c r="L14" s="27">
        <f>SUM(L9:L13)</f>
        <v>5700000</v>
      </c>
    </row>
    <row r="15" spans="2:12" ht="12.75">
      <c r="B15" s="88"/>
      <c r="C15" s="16"/>
      <c r="D15" s="9"/>
      <c r="E15" s="9"/>
      <c r="F15" s="9"/>
      <c r="G15" s="9"/>
      <c r="H15" s="9"/>
      <c r="I15" s="9"/>
      <c r="J15" s="17" t="s">
        <v>37</v>
      </c>
      <c r="K15" s="9"/>
      <c r="L15" s="10"/>
    </row>
    <row r="16" spans="2:12" ht="12.75">
      <c r="B16" s="88" t="s">
        <v>40</v>
      </c>
      <c r="C16" s="16" t="s">
        <v>29</v>
      </c>
      <c r="D16" s="9"/>
      <c r="E16" s="9"/>
      <c r="F16" s="9"/>
      <c r="G16" s="9"/>
      <c r="H16" s="9"/>
      <c r="I16" s="9"/>
      <c r="K16" s="9"/>
      <c r="L16" s="10"/>
    </row>
    <row r="17" spans="2:12" ht="12.75">
      <c r="B17" s="88"/>
      <c r="C17" s="16" t="s">
        <v>172</v>
      </c>
      <c r="D17" s="9"/>
      <c r="E17" s="9"/>
      <c r="F17" s="9"/>
      <c r="G17" s="9"/>
      <c r="H17" s="9"/>
      <c r="I17" s="9"/>
      <c r="J17" s="85">
        <v>0.01</v>
      </c>
      <c r="K17" s="21">
        <f>SUM($L$14*J17)</f>
        <v>57000</v>
      </c>
      <c r="L17" s="22"/>
    </row>
    <row r="18" spans="2:12" ht="12.75">
      <c r="B18" s="88"/>
      <c r="C18" s="16" t="s">
        <v>33</v>
      </c>
      <c r="D18" s="9" t="s">
        <v>162</v>
      </c>
      <c r="E18" s="9"/>
      <c r="F18" s="9"/>
      <c r="G18" s="9"/>
      <c r="H18" s="9"/>
      <c r="I18" s="9"/>
      <c r="J18" s="85">
        <v>0.1</v>
      </c>
      <c r="K18" s="21">
        <f>SUM($L$14*J18)</f>
        <v>570000</v>
      </c>
      <c r="L18" s="22"/>
    </row>
    <row r="19" spans="2:12" ht="12.75">
      <c r="B19" s="88"/>
      <c r="C19" s="16" t="s">
        <v>31</v>
      </c>
      <c r="D19" s="9" t="s">
        <v>32</v>
      </c>
      <c r="E19" s="9"/>
      <c r="F19" s="9"/>
      <c r="G19" s="9"/>
      <c r="H19" s="9"/>
      <c r="I19" s="9"/>
      <c r="J19" s="85">
        <v>0.04</v>
      </c>
      <c r="K19" s="21">
        <f>SUM($L$14*J19)</f>
        <v>228000</v>
      </c>
      <c r="L19" s="22"/>
    </row>
    <row r="20" spans="2:12" ht="12.75">
      <c r="B20" s="88"/>
      <c r="C20" s="16" t="s">
        <v>84</v>
      </c>
      <c r="D20" s="9" t="s">
        <v>144</v>
      </c>
      <c r="E20" s="9"/>
      <c r="F20" s="9"/>
      <c r="G20" s="9"/>
      <c r="H20" s="9"/>
      <c r="I20" s="9"/>
      <c r="J20" s="85">
        <v>0.2</v>
      </c>
      <c r="K20" s="21">
        <f>SUM($L$14*J20)</f>
        <v>1140000</v>
      </c>
      <c r="L20" s="22"/>
    </row>
    <row r="21" spans="2:12" ht="12.75">
      <c r="B21" s="88"/>
      <c r="C21" s="16"/>
      <c r="D21" s="9"/>
      <c r="E21" s="9" t="s">
        <v>34</v>
      </c>
      <c r="F21" s="9"/>
      <c r="G21" s="9"/>
      <c r="H21" s="9"/>
      <c r="I21" s="9"/>
      <c r="J21" s="9"/>
      <c r="K21" s="21"/>
      <c r="L21" s="22">
        <f>SUM(K16:K20)</f>
        <v>1995000</v>
      </c>
    </row>
    <row r="22" spans="2:12" ht="12.75">
      <c r="B22" s="88"/>
      <c r="C22" s="16"/>
      <c r="D22" s="9"/>
      <c r="E22" s="9"/>
      <c r="F22" s="9"/>
      <c r="G22" s="9"/>
      <c r="H22" s="9"/>
      <c r="I22" s="9"/>
      <c r="J22" s="9"/>
      <c r="K22" s="9"/>
      <c r="L22" s="10"/>
    </row>
    <row r="23" spans="2:12" ht="12.75">
      <c r="B23" s="88" t="s">
        <v>41</v>
      </c>
      <c r="C23" s="29" t="s">
        <v>35</v>
      </c>
      <c r="D23" s="9"/>
      <c r="E23" s="9"/>
      <c r="F23" s="9"/>
      <c r="G23" s="9"/>
      <c r="H23" s="9"/>
      <c r="I23" s="9"/>
      <c r="J23" s="21"/>
      <c r="K23" s="21"/>
      <c r="L23" s="27">
        <f>SUM(L14,L21)</f>
        <v>7695000</v>
      </c>
    </row>
    <row r="24" spans="2:12" ht="13.5" thickBot="1">
      <c r="B24" s="88" t="s">
        <v>42</v>
      </c>
      <c r="C24" s="16" t="s">
        <v>169</v>
      </c>
      <c r="D24" s="9"/>
      <c r="E24" s="9"/>
      <c r="F24" s="9"/>
      <c r="G24" s="9"/>
      <c r="H24" s="9"/>
      <c r="I24" s="9"/>
      <c r="J24" s="21"/>
      <c r="K24" s="21"/>
      <c r="L24" s="90">
        <f>SUM(L23*0.08)</f>
        <v>615600</v>
      </c>
    </row>
    <row r="25" spans="1:12" ht="13.5" thickTop="1">
      <c r="A25" s="10"/>
      <c r="B25" s="89" t="s">
        <v>43</v>
      </c>
      <c r="C25" s="28" t="s">
        <v>170</v>
      </c>
      <c r="D25" s="23"/>
      <c r="E25" s="23"/>
      <c r="F25" s="23"/>
      <c r="G25" s="23"/>
      <c r="H25" s="23"/>
      <c r="I25" s="23"/>
      <c r="J25" s="24"/>
      <c r="K25" s="24"/>
      <c r="L25" s="26">
        <f>SUM(L23,L24)</f>
        <v>8310600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SSOE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Koehler</dc:creator>
  <cp:keywords/>
  <dc:description/>
  <cp:lastModifiedBy>saunders</cp:lastModifiedBy>
  <cp:lastPrinted>2003-10-06T19:58:10Z</cp:lastPrinted>
  <dcterms:created xsi:type="dcterms:W3CDTF">2002-09-19T12:58:28Z</dcterms:created>
  <dcterms:modified xsi:type="dcterms:W3CDTF">2003-10-29T20:29:58Z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580227973</vt:i4>
  </property>
  <property fmtid="{D5CDD505-2E9C-101B-9397-08002B2CF9AE}" pid="3" name="_EmailSubject">
    <vt:lpwstr>The good news</vt:lpwstr>
  </property>
  <property fmtid="{D5CDD505-2E9C-101B-9397-08002B2CF9AE}" pid="4" name="_AuthorEmail">
    <vt:lpwstr>LKoehler@ssoe.com</vt:lpwstr>
  </property>
  <property fmtid="{D5CDD505-2E9C-101B-9397-08002B2CF9AE}" pid="5" name="_AuthorEmailDisplayName">
    <vt:lpwstr>Koehler, Larry</vt:lpwstr>
  </property>
  <property fmtid="{D5CDD505-2E9C-101B-9397-08002B2CF9AE}" pid="6" name="_ReviewingToolsShownOnce">
    <vt:lpwstr/>
  </property>
</Properties>
</file>